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235" windowHeight="10410" activeTab="0"/>
  </bookViews>
  <sheets>
    <sheet name="Вид 1" sheetId="1" r:id="rId1"/>
    <sheet name="Вид 2" sheetId="2" r:id="rId2"/>
  </sheets>
  <definedNames>
    <definedName name="_xlnm._FilterDatabase" localSheetId="0" hidden="1">'Вид 1'!$H$69:$K$69</definedName>
  </definedNames>
  <calcPr fullCalcOnLoad="1"/>
</workbook>
</file>

<file path=xl/comments1.xml><?xml version="1.0" encoding="utf-8"?>
<comments xmlns="http://schemas.openxmlformats.org/spreadsheetml/2006/main">
  <authors>
    <author>Gena</author>
  </authors>
  <commentList>
    <comment ref="F9" authorId="0">
      <text>
        <r>
          <rPr>
            <sz val="8"/>
            <rFont val="Tahoma"/>
            <family val="2"/>
          </rPr>
          <t>Проносы осуществляются на "нужной" руке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sz val="8"/>
            <rFont val="Tahoma"/>
            <family val="2"/>
          </rPr>
          <t>Проносы осуществляются на "нужной" руке</t>
        </r>
        <r>
          <rPr>
            <sz val="8"/>
            <rFont val="Tahoma"/>
            <family val="0"/>
          </rPr>
          <t xml:space="preserve">
</t>
        </r>
      </text>
    </comment>
    <comment ref="C12" authorId="0">
      <text>
        <r>
          <rPr>
            <sz val="8"/>
            <rFont val="Tahoma"/>
            <family val="2"/>
          </rPr>
          <t>Структура расклада у вистующих:
7 карт&lt;---&gt;0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7+5 карт&lt;---&gt;1 карта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7+4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>Структура расклада у вистующих:
6 карт&lt;---&gt;0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7+4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7+3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I12" authorId="0">
      <text>
        <r>
          <rPr>
            <sz val="8"/>
            <rFont val="Tahoma"/>
            <family val="2"/>
          </rPr>
          <t>Структура расклада у вистующих:
5 карт&lt;---&gt;0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7+ 3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K12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7+ 2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Структура расклада у вистующих:
6 карт&lt;---&gt;0
8(9)---&gt;9(8)+4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89+3 карты&lt;---&gt;1 карта
8(9)+1 карта---&gt;9(8)+3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89+2 карты&lt;---&gt;2 карты
8(9)+2 карты---&gt;9(8)+2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>Структура расклада у вистующих:
5 карт&lt;---&gt;0
8(9)---&gt;9(8)+3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89+2 карты&lt;---&gt;1 карта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89+1 карта&lt;---&gt;2 карты
8(9)+2 карты---&gt;9(8)+1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8"/>
            <rFont val="Tahoma"/>
            <family val="2"/>
          </rPr>
          <t>Структура расклада у вистующих:
4 карты&lt;---&gt;0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89+ 1 карта&lt;---&gt;1 карта
8(9)+ 1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89&lt;---&gt;2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9(8)+ 2 карты---&gt;8(9)
Вероятность этих раскладов 12,38%
=ЧИСЛКОМБ(2;2)*ЧИСЛКОМБ(2;1)*ЧИСЛКОМБ(16;7)/ЧИСЛКОМБ(20;10)*100</t>
        </r>
      </text>
    </comment>
    <comment ref="C14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</t>
        </r>
      </text>
    </comment>
    <comment ref="D15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</t>
        </r>
      </text>
    </comment>
    <comment ref="E15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7&lt;---&gt;5 карт
7+1 карта&lt;---&gt;4 карты
Вероятность этих раскладов </t>
        </r>
        <r>
          <rPr>
            <b/>
            <sz val="8"/>
            <rFont val="Tahoma"/>
            <family val="2"/>
          </rPr>
          <t>18,42</t>
        </r>
        <r>
          <rPr>
            <sz val="8"/>
            <rFont val="Tahoma"/>
            <family val="2"/>
          </rPr>
          <t>%
=2*ЧИСЛКОМБ(1;1)*(ЧИСЛКОМБ(5;0)*ЧИСЛКОМБ(14;9)+ЧИСЛКОМБ(5;1)*ЧИСЛКОМБ(14;8))/ЧИСЛКОМБ(20;10)*100</t>
        </r>
      </text>
    </comment>
    <comment ref="F15" authorId="0">
      <text>
        <r>
          <rPr>
            <sz val="8"/>
            <rFont val="Tahoma"/>
            <family val="2"/>
          </rPr>
          <t xml:space="preserve">Структура расклада у вистующих:
5 карт&lt;---&gt;0
7+3 карты&lt;---&gt;1 карта
</t>
        </r>
      </text>
    </comment>
    <comment ref="G15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7+2 карты&lt;---&gt;2 карты
</t>
        </r>
      </text>
    </comment>
    <comment ref="I15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</t>
        </r>
      </text>
    </comment>
    <comment ref="J15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K15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C16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
7---&gt;5 карт</t>
        </r>
      </text>
    </comment>
    <comment ref="D16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
7+1 карта---&gt;9+3 карты</t>
        </r>
      </text>
    </comment>
    <comment ref="F16" authorId="0">
      <text>
        <r>
          <rPr>
            <sz val="8"/>
            <rFont val="Tahoma"/>
            <family val="2"/>
          </rPr>
          <t>Структура расклада у вистующих:
5 карт&lt;---&gt;0
7+3 карты&lt;---&gt;1 карта
7---&gt;4 карты</t>
        </r>
      </text>
    </comment>
    <comment ref="G16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7+2 карты&lt;---&gt;2 карты
7+1 карта---&gt;9+2 карты</t>
        </r>
      </text>
    </comment>
    <comment ref="H16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7+1 карта&lt;---&gt;3 карты за вычетом расклада
7+1 карта---&gt;9+2 карты, который уже был учтен ранее в колонке 1-1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4 карты ---&gt; 7
Вероятность этих раскладов  2,71%
=ЧИСЛКОМБ(1;1)*ЧИСЛКОМБ(4;0)*ЧИСЛКОМБ(15;9)/ЧИСЛКОМБ(20;10)*100</t>
        </r>
      </text>
    </comment>
    <comment ref="I16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
7---&gt;3 карты</t>
        </r>
      </text>
    </comment>
    <comment ref="J16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K16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C17" authorId="0">
      <text>
        <r>
          <rPr>
            <sz val="8"/>
            <rFont val="Tahoma"/>
            <family val="2"/>
          </rPr>
          <t xml:space="preserve">Структура расклада у вистующих:
810В&lt;---&gt;0
</t>
        </r>
      </text>
    </comment>
    <comment ref="D17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810В&lt;---&gt;0
</t>
        </r>
      </text>
    </comment>
    <comment ref="C18" authorId="0">
      <text>
        <r>
          <rPr>
            <sz val="8"/>
            <rFont val="Tahoma"/>
            <family val="2"/>
          </rPr>
          <t>Структура расклада у вистующих:
5 карт&lt;---&gt;0
8(10)(В)---&gt;4 карты
хх---&gt;8(10)(В)КТ</t>
        </r>
      </text>
    </comment>
    <comment ref="D18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 +1 карта&lt;---&gt;1 карта
8(10)(В)х---&gt;3 карты
</t>
        </r>
      </text>
    </comment>
    <comment ref="F18" authorId="0">
      <text>
        <r>
          <rPr>
            <sz val="8"/>
            <rFont val="Tahoma"/>
            <family val="2"/>
          </rPr>
          <t xml:space="preserve">Снесен Т или К
Структура расклада у вистующих:
4 карты&lt;---&gt;0
8(10)(В)---&gt;3 карты
</t>
        </r>
      </text>
    </comment>
    <comment ref="I18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J18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K18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C19" authorId="0">
      <text>
        <r>
          <rPr>
            <sz val="8"/>
            <rFont val="Tahoma"/>
            <family val="2"/>
          </rPr>
          <t xml:space="preserve">Структура расклада у вистующих:
4 карты&lt;---&gt;0
8(10)(В)---&gt;3 карты
</t>
        </r>
      </text>
    </comment>
    <comment ref="D19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F19" authorId="0">
      <text>
        <r>
          <rPr>
            <sz val="8"/>
            <rFont val="Tahoma"/>
            <family val="2"/>
          </rPr>
          <t xml:space="preserve">Снесен Т (К)
Структура расклада у вистующих:
810В&lt;---&gt;0
</t>
        </r>
      </text>
    </comment>
    <comment ref="G19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H19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D20" authorId="0">
      <text>
        <r>
          <rPr>
            <sz val="8"/>
            <rFont val="Tahoma"/>
            <family val="2"/>
          </rPr>
          <t xml:space="preserve">В дополнение к колонке 0-0
надо добавить 2 расклада, при которых дырка ловится (с учетом 1-го проноса):
8910 + 2 карты&lt;---&gt;1 карта
8(9)(10) + 1 карта---&gt;4 карты
---
При этом, 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8(9)(10) + 2 карты---&gt;3 карты
8(9)(10) + 3 карты---&gt;2 карты</t>
        </r>
      </text>
    </comment>
    <comment ref="F2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8910 + 1 карта&lt;---&gt;1 карта
8(9)(10) + 1 карта---&gt;3 карты
8(9)(10) + 2 карты---&gt;2 карты
</t>
        </r>
      </text>
    </comment>
    <comment ref="G20" authorId="0">
      <text>
        <r>
          <rPr>
            <sz val="8"/>
            <rFont val="Tahoma"/>
            <family val="2"/>
          </rPr>
          <t xml:space="preserve">В дополнение к колонке 1-0
надо добавить 2 расклада, при которых дырка ловится (с учетом 1-го проноса):
8910 +1 карта&lt;---&gt;1 карта
8(9)(10) + 1 карта---&gt;3 карты
---
При этом структура расклада у вистующих, при которой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8(9)(10) + 2 карты---&gt;2 карты
</t>
        </r>
      </text>
    </comment>
    <comment ref="H20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вистующих, при которой они ловят эту дырку (с учетом 2-х проносов):
8910&lt;---&gt;2 карты
8(9)(10) + 2 карты---&gt;2 карты
</t>
        </r>
      </text>
    </comment>
    <comment ref="I2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8910&lt;---&gt;1 карта
8(9)(10) + 1 карта---&gt;2 карты
</t>
        </r>
      </text>
    </comment>
    <comment ref="J20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C21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8(9)---&gt;9(8)+3 карты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89&lt;---&gt;ТКД
ТКД9(8)---&gt;8(9)
Вероятность этих раскладов 12,38%
=(2*ЧИСЛКОМБ(2;2)*ЧИСЛКОМБ(3;0)*ЧИСЛКОМБ(15;8)+ЧИСЛКОМБ(3;3)*ЧИСЛКОМБ(2;1)*ЧИСЛКОМБ(15;6))/ЧИСЛКОМБ(20;10)*100</t>
        </r>
      </text>
    </comment>
    <comment ref="F21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sz val="8"/>
            <rFont val="Tahoma"/>
            <family val="2"/>
          </rPr>
          <t>Снесен Т или К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G22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25" authorId="0">
      <text>
        <r>
          <rPr>
            <sz val="8"/>
            <rFont val="Tahoma"/>
            <family val="2"/>
          </rPr>
          <t>Структура расклада у вистующих:
3 карты&lt;---&gt;0
8(9)---&gt;9(8)+Т</t>
        </r>
        <r>
          <rPr>
            <b/>
            <sz val="8"/>
            <rFont val="Tahoma"/>
            <family val="0"/>
          </rPr>
          <t xml:space="preserve">
</t>
        </r>
      </text>
    </comment>
    <comment ref="D25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F25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sz val="8"/>
            <rFont val="Tahoma"/>
            <family val="2"/>
          </rPr>
          <t>Структура расклада у вистующих:
7 карт&lt;---&gt;0
7(8)&lt;---&gt;8(7)</t>
        </r>
      </text>
    </comment>
    <comment ref="D29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78+4 карты&lt;---&gt;1 карта
</t>
        </r>
      </text>
    </comment>
    <comment ref="F29" authorId="0">
      <text>
        <r>
          <rPr>
            <sz val="8"/>
            <rFont val="Tahoma"/>
            <family val="2"/>
          </rPr>
          <t>Структура расклада у вистующих:
6 карт&lt;---&gt;0
7(8)&lt;---&gt;8(7)</t>
        </r>
      </text>
    </comment>
    <comment ref="G29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78+3 карты&lt;---&gt;1 карта
</t>
        </r>
      </text>
    </comment>
    <comment ref="H29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78+2 карты&lt;---&gt;2 карты
</t>
        </r>
      </text>
    </comment>
    <comment ref="I29" authorId="0">
      <text>
        <r>
          <rPr>
            <sz val="8"/>
            <rFont val="Tahoma"/>
            <family val="2"/>
          </rPr>
          <t>Структура расклада у вистующих:
5 карт&lt;---&gt;0
7(8)&lt;---&gt;8(7)</t>
        </r>
      </text>
    </comment>
    <comment ref="J29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78+ 2 карты&lt;---&gt;1 карта
</t>
        </r>
      </text>
    </comment>
    <comment ref="K29" authorId="0">
      <text>
        <r>
          <rPr>
            <sz val="8"/>
            <rFont val="Tahoma"/>
            <family val="2"/>
          </rPr>
          <t xml:space="preserve">В дополнение к колонке 2-1
Структура расклада у вистующих:
78+ 1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следующих раскладах:
78&lt;---&gt;3 карты
Вероятность этих раскладов 6,19%
=2*ЧИСЛКОМБ(2;2)*ЧИСЛКОМБ(3;0)*ЧИСЛКОМБ(15;8)/ЧИСЛКОМБ(20;10)*100</t>
        </r>
      </text>
    </comment>
    <comment ref="C30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F30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G30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H30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C31" authorId="0">
      <text>
        <r>
          <rPr>
            <sz val="8"/>
            <rFont val="Tahoma"/>
            <family val="2"/>
          </rPr>
          <t>Структура расклада у вистующих:
5 карт&lt;---&gt;0
8(10)(В)(Д)&lt;---&gt;4 карты
2 карты---&gt;2 карты +Т
3 карты---&gt;1 карта +Т</t>
        </r>
      </text>
    </comment>
    <comment ref="F31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G31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H31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C34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789ВДКТ&lt;---&gt;0</t>
        </r>
      </text>
    </comment>
    <comment ref="F34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6 карт&lt;---&gt;0</t>
        </r>
      </text>
    </comment>
    <comment ref="I34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5 карт&lt;---&gt;0</t>
        </r>
      </text>
    </comment>
    <comment ref="J34" authorId="0">
      <text>
        <r>
          <rPr>
            <sz val="8"/>
            <rFont val="Tahoma"/>
            <family val="2"/>
          </rPr>
          <t>В дополнение к колонке 2-0 
за вычетом расклада у вистующих, при котором они ловят дырку:
789+1 карта&lt;---&gt;1 карта</t>
        </r>
      </text>
    </comment>
    <comment ref="C2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8910 + 2 карты&lt;---&gt;1 карта
8(9)(10) + 1 карта---&gt;4 карты
8(9)(10) + 2 карты---&gt;3 карты
8(9)(10) + 3 карты---&gt;2 карты</t>
        </r>
      </text>
    </comment>
    <comment ref="C3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8910В +  К(Т)&lt;---&gt;Т(К)
8(9)(10)(В) + К(Т)---&gt;3 карты + Т(К)
8(9)(10)(В) + ТК---&gt;3 карты
</t>
        </r>
      </text>
    </comment>
    <comment ref="E32" authorId="0">
      <text>
        <r>
          <rPr>
            <sz val="8"/>
            <rFont val="Tahoma"/>
            <family val="2"/>
          </rPr>
          <t xml:space="preserve">Снесены ТК
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G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H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I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J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D3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8(9)(10)(В) + ТК---&gt;3 карты
</t>
        </r>
      </text>
    </comment>
    <comment ref="F32" authorId="0">
      <text>
        <r>
          <rPr>
            <sz val="8"/>
            <rFont val="Tahoma"/>
            <family val="2"/>
          </rPr>
          <t xml:space="preserve">Снесен Т или К (пусть Т для определенности)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8910В&lt;---&gt;К
8(9)(10)(В) + К---&gt;3 карты 
</t>
        </r>
      </text>
    </comment>
    <comment ref="J28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28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F28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7910&lt;---&gt;2 карты
7(9)(10) + 1 карта---&gt;3 карты
7(9)(10) + 2 карты---&gt;2 карты
</t>
        </r>
      </text>
    </comment>
    <comment ref="G28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+ 2 карты---&gt;7+10(9)</t>
        </r>
      </text>
    </comment>
    <comment ref="H28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I28" authorId="0">
      <text>
        <r>
          <rPr>
            <sz val="8"/>
            <rFont val="Tahoma"/>
            <family val="2"/>
          </rPr>
          <t xml:space="preserve">Снесены ТК (ТД) или (КД)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7(9)(10) + 1 карта---&gt;2 карты
</t>
        </r>
      </text>
    </comment>
    <comment ref="C27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8(9)---&gt;9(8)+ВТК
8(9)+1 карта---&gt;9(8)+2 карты
89---&gt;ВКТ</t>
        </r>
        <r>
          <rPr>
            <b/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ТКВ---&gt;89
ТКВ9(8)---&gt;8(9)
Вероятность этих раскладов 8,90%
=(ЧИСЛКОМБ(2;2)*ЧИСЛКОМБ(3;0)*ЧИСЛКОМБ(15;8)+ЧИСЛКОМБ(3;3)*ЧИСЛКОМБ(2;1)*ЧИСЛКОМБ(15;6))/ЧИСЛКОМБ(20;10)*100</t>
        </r>
      </text>
    </comment>
    <comment ref="F27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E20" authorId="0">
      <text>
        <r>
          <rPr>
            <sz val="8"/>
            <rFont val="Tahoma"/>
            <family val="2"/>
          </rPr>
          <t xml:space="preserve">В дополнение к колонке 0-1
надо добавить 2 расклада, при которых дырка ловится (с учетом 2-х проносов):
8910 + 1 карта&lt;---&gt;2 карты
8(9)(10) + 2 карты---&gt;3 карты
---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в.у. раскладах:
8910&lt;---&gt;3 карты
8(9)(10) + 3 карты---&gt;2 карты
Вероятность этих раскладов 8,59%
=(2*ЧИСЛКОМБ(3;3)*ЧИСЛКОМБ(3;0)*ЧИСЛКОМБ(14;7)+ЧИСЛКОМБ(3;1)*ЧИСЛКОМБ(3;3)*ЧИСЛКОМБ(14;6))/ЧИСЛКОМБ(20;10)*100</t>
        </r>
      </text>
    </comment>
    <comment ref="K20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D34" authorId="0">
      <text>
        <r>
          <rPr>
            <sz val="8"/>
            <rFont val="Tahoma"/>
            <family val="2"/>
          </rPr>
          <t>В дополнение к колонке 0-0 надо добавить расклад, при котором вистующие</t>
        </r>
        <r>
          <rPr>
            <sz val="8"/>
            <rFont val="Tahoma"/>
            <family val="2"/>
          </rPr>
          <t xml:space="preserve"> ловят дырку:
789+3 карты&lt;---&gt;1 карта
</t>
        </r>
      </text>
    </comment>
    <comment ref="E34" authorId="0">
      <text>
        <r>
          <rPr>
            <sz val="8"/>
            <rFont val="Tahoma"/>
            <family val="2"/>
          </rPr>
          <t xml:space="preserve">В дополнение к колонке 0-1 надо добавить расклад, при котором вистующие ловят дырку:
789+2 карты&lt;---&gt;2 карты
</t>
        </r>
      </text>
    </comment>
    <comment ref="F5" authorId="0">
      <text>
        <r>
          <rPr>
            <sz val="8"/>
            <rFont val="Tahoma"/>
            <family val="2"/>
          </rPr>
          <t xml:space="preserve">На стр. 425-427 приводится пример расчета вероятности ловли дырки </t>
        </r>
        <r>
          <rPr>
            <b/>
            <sz val="8"/>
            <rFont val="Tahoma"/>
            <family val="2"/>
          </rPr>
          <t>7В</t>
        </r>
        <r>
          <rPr>
            <sz val="8"/>
            <rFont val="Tahoma"/>
            <family val="2"/>
          </rPr>
          <t xml:space="preserve"> с учетом проносов для конкретного расклада:
</t>
        </r>
        <r>
          <rPr>
            <b/>
            <sz val="8"/>
            <rFont val="Tahoma"/>
            <family val="2"/>
          </rPr>
          <t>ДВ10987_87(ТК)_В7_---</t>
        </r>
        <r>
          <rPr>
            <sz val="8"/>
            <rFont val="Tahoma"/>
            <family val="0"/>
          </rPr>
          <t xml:space="preserve">
Получено значение вероятности ловли - </t>
        </r>
        <r>
          <rPr>
            <b/>
            <sz val="8"/>
            <rFont val="Tahoma"/>
            <family val="2"/>
          </rPr>
          <t>56,6 %</t>
        </r>
      </text>
    </comment>
    <comment ref="F6" authorId="0">
      <text>
        <r>
          <rPr>
            <sz val="8"/>
            <rFont val="Tahoma"/>
            <family val="2"/>
          </rPr>
          <t>В таблице на стр.66 дается значение только для дырки 710 в строке №2 и в столбце №2 (и еще в тексте на стр. 65 для дырки 89)</t>
        </r>
      </text>
    </comment>
    <comment ref="I6" authorId="0">
      <text>
        <r>
          <rPr>
            <sz val="8"/>
            <rFont val="Tahoma"/>
            <family val="2"/>
          </rPr>
          <t>В тексте на стр. 64 дается значение лишь для дырки "8" (0,033)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>Автор неявно предлагает читателю самому добавить к числу указанному в этом столбце значение, указанное во 2-м столбце, чтобы получить итоговое значение !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Автор неявно предлагает читателю самому добавить к числу указанному в этом столбце значение, указанное во 2-м  и 3-м столбцах, чтобы получить итоговое значение !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В таблице на стр.66 дается значение только для дырки 710 в строке №2 и в столбце №3</t>
        </r>
      </text>
    </comment>
    <comment ref="H6" authorId="0">
      <text>
        <r>
          <rPr>
            <sz val="8"/>
            <rFont val="Tahoma"/>
            <family val="2"/>
          </rPr>
          <t>В таблице на стр.66 дается значение только для дырки 710 в строке №2 и в столбце №4</t>
        </r>
      </text>
    </comment>
    <comment ref="C23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sz val="8"/>
            <rFont val="Tahoma"/>
            <family val="2"/>
          </rPr>
          <t>Снесен Т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J21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sz val="8"/>
            <rFont val="Tahoma"/>
            <family val="2"/>
          </rPr>
          <t>Структура расклада у вистующих:
3 карты&lt;---&gt;0
8(9)---&gt;9(8)+В</t>
        </r>
        <r>
          <rPr>
            <b/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C33" authorId="0">
      <text>
        <r>
          <rPr>
            <sz val="8"/>
            <rFont val="Tahoma"/>
            <family val="2"/>
          </rPr>
          <t>Структура расклада у вистующих:
5 карт&lt;---&gt;0
4 карты&lt;---&gt;1 карта
2 карты---&gt;2 карты + Т
9(8)+ВД&lt;---&gt;8(9)+Т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89+В(Д)---&gt;Д(В)+Т</t>
        </r>
      </text>
    </comment>
    <comment ref="D33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В(Д)+Т---&gt;89+Д(В)
Т89---&gt;ДВ
</t>
        </r>
        <r>
          <rPr>
            <b/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Т+8(9)В(Д)---&gt;9(8)+Д(В)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ТДВ---&gt;89
Вероятность этих раскладов 3,48%
=ЧИСЛКОМБ(3;3)*ЧИСЛКОМБ(2;0)*ЧИСЛКОМБ(15;7)/ЧИСЛКОМБ(20;10)*100</t>
        </r>
      </text>
    </comment>
    <comment ref="F33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3 карты&lt;---&gt;1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8"/>
            <rFont val="Tahoma"/>
            <family val="2"/>
          </rPr>
          <t>Проносы осуществляются на "нужной" руке</t>
        </r>
        <r>
          <rPr>
            <sz val="8"/>
            <rFont val="Tahoma"/>
            <family val="0"/>
          </rPr>
          <t xml:space="preserve">
</t>
        </r>
      </text>
    </comment>
    <comment ref="I38" authorId="0">
      <text>
        <r>
          <rPr>
            <sz val="8"/>
            <rFont val="Tahoma"/>
            <family val="2"/>
          </rPr>
          <t>Проносы осуществляются на "нужной" руке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sz val="8"/>
            <rFont val="Tahoma"/>
            <family val="2"/>
          </rPr>
          <t>Структура расклада у вистующих:
7 карт&lt;---&gt;0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7+5 карт&lt;---&gt;1 карта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7+4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sz val="8"/>
            <rFont val="Tahoma"/>
            <family val="2"/>
          </rPr>
          <t>Структура расклада у вистующих:
6 карт&lt;---&gt;0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7+4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7+3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I41" authorId="0">
      <text>
        <r>
          <rPr>
            <sz val="8"/>
            <rFont val="Tahoma"/>
            <family val="2"/>
          </rPr>
          <t>Структура расклада у вистующих:
5 карт&lt;---&gt;0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7+ 3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K41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7+ 2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sz val="8"/>
            <rFont val="Tahoma"/>
            <family val="2"/>
          </rPr>
          <t>Структура расклада у вистующих:
6 карт&lt;---&gt;0
8(9)---&gt;9(8)+4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89+3 карты&lt;---&gt;1 карта
8(9)+1 карта---&gt;9(8)+3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89+2 карты&lt;---&gt;2 карты
8(9)+2 карты---&gt;9(8)+2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sz val="8"/>
            <rFont val="Tahoma"/>
            <family val="2"/>
          </rPr>
          <t>Структура расклада у вистующих:
5 карт&lt;---&gt;0
8(9)---&gt;9(8)+3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44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89+2 карты&lt;---&gt;1 карта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89+1 карта&lt;---&gt;2 карты
8(9)+2 карты---&gt;9(8)+1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sz val="8"/>
            <rFont val="Tahoma"/>
            <family val="2"/>
          </rPr>
          <t>Структура расклада у вистующих:
4 карты&lt;---&gt;0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89+ 1 карта&lt;---&gt;1 карта
8(9)+ 1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44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89&lt;---&gt;2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9(8)+ 2 карты---&gt;8(9)
Вероятность этих раскладов 12,38%
=ЧИСЛКОМБ(2;2)*ЧИСЛКОМБ(2;1)*ЧИСЛКОМБ(16;7)/ЧИСЛКОМБ(20;10)*100</t>
        </r>
      </text>
    </comment>
    <comment ref="C46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</t>
        </r>
      </text>
    </comment>
    <comment ref="D46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</t>
        </r>
      </text>
    </comment>
    <comment ref="F46" authorId="0">
      <text>
        <r>
          <rPr>
            <sz val="8"/>
            <rFont val="Tahoma"/>
            <family val="2"/>
          </rPr>
          <t xml:space="preserve">Структура расклада у вистующих:
5 карт&lt;---&gt;0
7+3 карты&lt;---&gt;1 карта
</t>
        </r>
      </text>
    </comment>
    <comment ref="G46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7+2 карты&lt;---&gt;2 карты
</t>
        </r>
      </text>
    </comment>
    <comment ref="I46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</t>
        </r>
      </text>
    </comment>
    <comment ref="J46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K46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C48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
7---&gt;5 карт</t>
        </r>
      </text>
    </comment>
    <comment ref="D48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
7+1 карта---&gt;9+3 карты</t>
        </r>
      </text>
    </comment>
    <comment ref="F48" authorId="0">
      <text>
        <r>
          <rPr>
            <sz val="8"/>
            <rFont val="Tahoma"/>
            <family val="2"/>
          </rPr>
          <t>Структура расклада у вистующих:
5 карт&lt;---&gt;0
7+3 карты&lt;---&gt;1 карта
7---&gt;4 карты</t>
        </r>
      </text>
    </comment>
    <comment ref="G48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7+2 карты&lt;---&gt;2 карты
7+1 карта---&gt;9+2 карты</t>
        </r>
      </text>
    </comment>
    <comment ref="H48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7+1 карта&lt;---&gt;3 карты за вычетом расклада
7+1 карта---&gt;9+2 карты, который уже был учтен ранее в колонке 1-1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4 карты ---&gt; 7
Вероятность этих раскладов  2,71%
=ЧИСЛКОМБ(1;1)*ЧИСЛКОМБ(4;0)*ЧИСЛКОМБ(15;9)/ЧИСЛКОМБ(20;10)*100</t>
        </r>
      </text>
    </comment>
    <comment ref="I48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
7---&gt;3 карты</t>
        </r>
      </text>
    </comment>
    <comment ref="J48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K48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C43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810В&lt;---&gt;0
</t>
        </r>
      </text>
    </comment>
    <comment ref="C49" authorId="0">
      <text>
        <r>
          <rPr>
            <sz val="8"/>
            <rFont val="Tahoma"/>
            <family val="2"/>
          </rPr>
          <t>Структура расклада у вистующих:
5 карт&lt;---&gt;0
8(10)(В)---&gt;4 карты
хх---&gt;8(10)(В)КТ</t>
        </r>
      </text>
    </comment>
    <comment ref="D49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 +1 карта&lt;---&gt;1 карта
8(10)(В)х---&gt;3 карты
</t>
        </r>
      </text>
    </comment>
    <comment ref="F49" authorId="0">
      <text>
        <r>
          <rPr>
            <sz val="8"/>
            <rFont val="Tahoma"/>
            <family val="2"/>
          </rPr>
          <t xml:space="preserve">Снесен Т или К
Структура расклада у вистующих:
4 карты&lt;---&gt;0
8(10)(В)---&gt;3 карты
</t>
        </r>
      </text>
    </comment>
    <comment ref="I49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J49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K49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C45" authorId="0">
      <text>
        <r>
          <rPr>
            <sz val="8"/>
            <rFont val="Tahoma"/>
            <family val="2"/>
          </rPr>
          <t xml:space="preserve">Структура расклада у вистующих:
4 карты&lt;---&gt;0
8(10)(В)---&gt;3 карты
</t>
        </r>
      </text>
    </comment>
    <comment ref="F45" authorId="0">
      <text>
        <r>
          <rPr>
            <sz val="8"/>
            <rFont val="Tahoma"/>
            <family val="2"/>
          </rPr>
          <t xml:space="preserve">Снесен Т (К)
Структура расклада у вистующих:
810В&lt;---&gt;0
</t>
        </r>
      </text>
    </comment>
    <comment ref="G45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H45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C5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8910 + 2 карты&lt;---&gt;1 карта
8(9)(10) + 1 карта---&gt;4 карты
8(9)(10) + 2 карты---&gt;3 карты
8(9)(10) + 3 карты---&gt;2 карты</t>
        </r>
      </text>
    </comment>
    <comment ref="D52" authorId="0">
      <text>
        <r>
          <rPr>
            <sz val="8"/>
            <rFont val="Tahoma"/>
            <family val="2"/>
          </rPr>
          <t xml:space="preserve">В дополнение к колонке 0-0
надо добавить 2 расклада, при которых дырка ловится (с учетом 1-го проноса):
8910 + 2 карты&lt;---&gt;1 карта
8(9)(10) + 1 карта---&gt;4 карты
---
При этом, 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8(9)(10) + 2 карты---&gt;3 карты
8(9)(10) + 3 карты---&gt;2 карты</t>
        </r>
      </text>
    </comment>
    <comment ref="E52" authorId="0">
      <text>
        <r>
          <rPr>
            <sz val="8"/>
            <rFont val="Tahoma"/>
            <family val="2"/>
          </rPr>
          <t xml:space="preserve">В дополнение к колонке 0-1
надо добавить 2 расклада, при которых дырка ловится (с учетом 2-х проносов):
8910 + 1 карта&lt;---&gt;2 карты
8(9)(10) + 2 карты---&gt;3 карты
---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в.у. раскладах:
8910&lt;---&gt;3 карты
8(9)(10) + 3 карты---&gt;2 карты
Вероятность этих раскладов 8,59%
=(2*ЧИСЛКОМБ(3;3)*ЧИСЛКОМБ(3;0)*ЧИСЛКОМБ(14;7)+ЧИСЛКОМБ(3;1)*ЧИСЛКОМБ(3;3)*ЧИСЛКОМБ(14;6))/ЧИСЛКОМБ(20;10)*100</t>
        </r>
      </text>
    </comment>
    <comment ref="F5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8910 + 1 карта&lt;---&gt;1 карта
8(9)(10) + 1 карта---&gt;3 карты
8(9)(10) + 2 карты---&gt;2 карты
</t>
        </r>
      </text>
    </comment>
    <comment ref="I5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8910&lt;---&gt;1 карта
8(9)(10) + 1 карта---&gt;2 карты
</t>
        </r>
      </text>
    </comment>
    <comment ref="J52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K52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C53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8(9)---&gt;9(8)+3 карты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53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89&lt;---&gt;ТКД
ТКД9(8)---&gt;8(9)
Вероятность этих раскладов 12,38%
=(2*ЧИСЛКОМБ(2;2)*ЧИСЛКОМБ(3;0)*ЧИСЛКОМБ(15;8)+ЧИСЛКОМБ(3;3)*ЧИСЛКОМБ(2;1)*ЧИСЛКОМБ(15;6))/ЧИСЛКОМБ(20;10)*100</t>
        </r>
      </text>
    </comment>
    <comment ref="F53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53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53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sz val="8"/>
            <rFont val="Tahoma"/>
            <family val="2"/>
          </rPr>
          <t>Снесен Т или К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G55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H55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55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K55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sz val="8"/>
            <rFont val="Tahoma"/>
            <family val="2"/>
          </rPr>
          <t>Снесен Т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G56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sz val="8"/>
            <rFont val="Tahoma"/>
            <family val="2"/>
          </rPr>
          <t>Структура расклада у вистующих:
3 карты&lt;---&gt;0
8(9)---&gt;9(8)+Т</t>
        </r>
        <r>
          <rPr>
            <b/>
            <sz val="8"/>
            <rFont val="Tahoma"/>
            <family val="0"/>
          </rPr>
          <t xml:space="preserve">
</t>
        </r>
      </text>
    </comment>
    <comment ref="F57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G57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sz val="8"/>
            <rFont val="Tahoma"/>
            <family val="2"/>
          </rPr>
          <t>Структура расклада у вистующих:
3 карты&lt;---&gt;0
8(9)---&gt;9(8)+В</t>
        </r>
        <r>
          <rPr>
            <b/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8(9)---&gt;9(8)+ВТК
8(9)+1 карта---&gt;9(8)+2 карты
89---&gt;ВКТ</t>
        </r>
        <r>
          <rPr>
            <b/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E54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ТКВ---&gt;89
ТКВ9(8)---&gt;8(9)
Вероятность этих раскладов 8,90%
=(ЧИСЛКОМБ(2;2)*ЧИСЛКОМБ(3;0)*ЧИСЛКОМБ(15;8)+ЧИСЛКОМБ(3;3)*ЧИСЛКОМБ(2;1)*ЧИСЛКОМБ(15;6))/ЧИСЛКОМБ(20;10)*100</t>
        </r>
      </text>
    </comment>
    <comment ref="F54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54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54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5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7910 + 1 карта&lt;---&gt;2 карты
7(9)(10) + 1 карта---&gt;4 карты
7(9)(10) + 2 карты---&gt;3 карты
7(9)(10) + ТКД---&gt;2 карты</t>
        </r>
      </text>
    </comment>
    <comment ref="D5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7(9)(10) + 2 карты---&gt;3 карты
9(10) + ТКД---&gt;7+10(9)
</t>
        </r>
      </text>
    </comment>
    <comment ref="E5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ТКД---&gt;7+10(9)
</t>
        </r>
      </text>
    </comment>
    <comment ref="F59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7910&lt;---&gt;2 карты
7(9)(10) + 1 карта---&gt;3 карты
7(9)(10) + 2 карты---&gt;2 карты
</t>
        </r>
      </text>
    </comment>
    <comment ref="G59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+ 2 карты---&gt;7+10(9)</t>
        </r>
      </text>
    </comment>
    <comment ref="H59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I59" authorId="0">
      <text>
        <r>
          <rPr>
            <sz val="8"/>
            <rFont val="Tahoma"/>
            <family val="2"/>
          </rPr>
          <t xml:space="preserve">Снесены ТК (ТД) или (КД)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7(9)(10) + 1 карта---&gt;2 карты
</t>
        </r>
      </text>
    </comment>
    <comment ref="J59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59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C50" authorId="0">
      <text>
        <r>
          <rPr>
            <sz val="8"/>
            <rFont val="Tahoma"/>
            <family val="2"/>
          </rPr>
          <t>Структура расклада у вистующих:
7 карт&lt;---&gt;0
7(8)&lt;---&gt;8(7)</t>
        </r>
      </text>
    </comment>
    <comment ref="D50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78+4 карты&lt;---&gt;1 карта
</t>
        </r>
      </text>
    </comment>
    <comment ref="F50" authorId="0">
      <text>
        <r>
          <rPr>
            <sz val="8"/>
            <rFont val="Tahoma"/>
            <family val="2"/>
          </rPr>
          <t>Структура расклада у вистующих:
6 карт&lt;---&gt;0
7(8)&lt;---&gt;8(7)</t>
        </r>
      </text>
    </comment>
    <comment ref="G50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78+3 карты&lt;---&gt;1 карта
</t>
        </r>
      </text>
    </comment>
    <comment ref="H50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78+2 карты&lt;---&gt;2 карты
</t>
        </r>
      </text>
    </comment>
    <comment ref="I50" authorId="0">
      <text>
        <r>
          <rPr>
            <sz val="8"/>
            <rFont val="Tahoma"/>
            <family val="2"/>
          </rPr>
          <t>Структура расклада у вистующих:
5 карт&lt;---&gt;0
7(8)&lt;---&gt;8(7)</t>
        </r>
      </text>
    </comment>
    <comment ref="J50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78+ 2 карты&lt;---&gt;1 карта
</t>
        </r>
      </text>
    </comment>
    <comment ref="K50" authorId="0">
      <text>
        <r>
          <rPr>
            <sz val="8"/>
            <rFont val="Tahoma"/>
            <family val="2"/>
          </rPr>
          <t xml:space="preserve">В дополнение к колонке 2-1
Структура расклада у вистующих:
78+ 1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следующих раскладах:
78&lt;---&gt;3 карты
Вероятность этих раскладов 6,19%
=2*ЧИСЛКОМБ(2;2)*ЧИСЛКОМБ(3;0)*ЧИСЛКОМБ(15;8)/ЧИСЛКОМБ(20;10)*100</t>
        </r>
      </text>
    </comment>
    <comment ref="F51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G51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H51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C60" authorId="0">
      <text>
        <r>
          <rPr>
            <sz val="8"/>
            <rFont val="Tahoma"/>
            <family val="2"/>
          </rPr>
          <t>Структура расклада у вистующих:
5 карт&lt;---&gt;0
8(10)(В)(Д)&lt;---&gt;4 карты
2 карты---&gt;2 карты +Т
3 карты---&gt;1 карта +Т</t>
        </r>
      </text>
    </comment>
    <comment ref="F60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G60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H60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C63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8910В +  К(Т)&lt;---&gt;Т(К)
8(9)(10)(В) + К(Т)---&gt;3 карты + Т(К)
8(9)(10)(В) + ТК---&gt;3 карты
</t>
        </r>
      </text>
    </comment>
    <comment ref="D63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8(9)(10)(В) + ТК---&gt;3 карты
</t>
        </r>
      </text>
    </comment>
    <comment ref="E63" authorId="0">
      <text>
        <r>
          <rPr>
            <sz val="8"/>
            <rFont val="Tahoma"/>
            <family val="2"/>
          </rPr>
          <t xml:space="preserve">Снесены ТК
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F63" authorId="0">
      <text>
        <r>
          <rPr>
            <sz val="8"/>
            <rFont val="Tahoma"/>
            <family val="2"/>
          </rPr>
          <t xml:space="preserve">Снесен Т или К (пусть Т для определенности)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8910В&lt;---&gt;К
8(9)(10)(В) + К---&gt;3 карты 
</t>
        </r>
      </text>
    </comment>
    <comment ref="G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H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I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J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C62" authorId="0">
      <text>
        <r>
          <rPr>
            <sz val="8"/>
            <rFont val="Tahoma"/>
            <family val="2"/>
          </rPr>
          <t>Структура расклада у вистующих:
5 карт&lt;---&gt;0
4 карты&lt;---&gt;1 карта
2 карты---&gt;2 карты + Т
9(8)+ВД&lt;---&gt;8(9)+Т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89+В(Д)---&gt;Д(В)+Т</t>
        </r>
      </text>
    </comment>
    <comment ref="D62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В(Д)+Т---&gt;89+Д(В)
Т89---&gt;ДВ
</t>
        </r>
        <r>
          <rPr>
            <b/>
            <sz val="8"/>
            <rFont val="Tahoma"/>
            <family val="0"/>
          </rPr>
          <t xml:space="preserve">
</t>
        </r>
      </text>
    </comment>
    <comment ref="E62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Т+8(9)В(Д)---&gt;9(8)+Д(В)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ТДВ---&gt;89
Вероятность этих раскладов 3,48%
=ЧИСЛКОМБ(3;3)*ЧИСЛКОМБ(2;0)*ЧИСЛКОМБ(15;7)/ЧИСЛКОМБ(20;10)*100</t>
        </r>
      </text>
    </comment>
    <comment ref="F62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3 карты&lt;---&gt;1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789ВДКТ&lt;---&gt;0</t>
        </r>
      </text>
    </comment>
    <comment ref="D61" authorId="0">
      <text>
        <r>
          <rPr>
            <sz val="8"/>
            <rFont val="Tahoma"/>
            <family val="2"/>
          </rPr>
          <t>В дополнение к колонке 0-0 надо добавить расклад, при котором вистующие</t>
        </r>
        <r>
          <rPr>
            <sz val="8"/>
            <rFont val="Tahoma"/>
            <family val="2"/>
          </rPr>
          <t xml:space="preserve"> ловят дырку:
789+3 карты&lt;---&gt;1 карта
</t>
        </r>
      </text>
    </comment>
    <comment ref="E61" authorId="0">
      <text>
        <r>
          <rPr>
            <sz val="8"/>
            <rFont val="Tahoma"/>
            <family val="2"/>
          </rPr>
          <t xml:space="preserve">В дополнение к колонке 0-1 надо добавить расклад, при котором вистующие ловят дырку:
789+2 карты&lt;---&gt;2 карты
</t>
        </r>
      </text>
    </comment>
    <comment ref="F61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6 карт&lt;---&gt;0</t>
        </r>
      </text>
    </comment>
    <comment ref="E22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E23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89&lt;---&gt;ТВ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</t>
        </r>
        <r>
          <rPr>
            <b/>
            <sz val="8"/>
            <rFont val="Tahoma"/>
            <family val="2"/>
          </rPr>
          <t xml:space="preserve"> и более</t>
        </r>
        <r>
          <rPr>
            <sz val="8"/>
            <rFont val="Tahoma"/>
            <family val="2"/>
          </rPr>
          <t xml:space="preserve">  проносах) при следующих раскладах:
ТВ8(9)---&gt;9(8)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C71" authorId="0">
      <text>
        <r>
          <rPr>
            <sz val="8"/>
            <rFont val="Tahoma"/>
            <family val="2"/>
          </rPr>
          <t>Структура расклада у вистующих:
7 карт&lt;---&gt;0</t>
        </r>
        <r>
          <rPr>
            <sz val="8"/>
            <rFont val="Tahoma"/>
            <family val="0"/>
          </rPr>
          <t xml:space="preserve">
</t>
        </r>
      </text>
    </comment>
    <comment ref="D71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7+5 карт&lt;---&gt;1 карта</t>
        </r>
        <r>
          <rPr>
            <sz val="8"/>
            <rFont val="Tahoma"/>
            <family val="0"/>
          </rPr>
          <t xml:space="preserve">
</t>
        </r>
      </text>
    </comment>
    <comment ref="E71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7+4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C70" authorId="0">
      <text>
        <r>
          <rPr>
            <sz val="8"/>
            <rFont val="Tahoma"/>
            <family val="2"/>
          </rPr>
          <t>Структура расклада у вистующих:
5 карт&lt;---&gt;0
8(10)(В)---&gt;4 карты
хх---&gt;8(10)(В)КТ</t>
        </r>
      </text>
    </comment>
    <comment ref="D70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 +1 карта&lt;---&gt;1 карта
8(10)(В)х---&gt;3 карты
</t>
        </r>
      </text>
    </comment>
    <comment ref="C73" authorId="0">
      <text>
        <r>
          <rPr>
            <sz val="8"/>
            <rFont val="Tahoma"/>
            <family val="2"/>
          </rPr>
          <t>Структура расклада у вистующих:
6 карт&lt;---&gt;0
8(9)---&gt;9(8)+4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73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89+3 карты&lt;---&gt;1 карта
8(9)+1 карта---&gt;9(8)+3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73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89+2 карты&lt;---&gt;2 карты
8(9)+2 карты---&gt;9(8)+2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C72" authorId="0">
      <text>
        <r>
          <rPr>
            <sz val="8"/>
            <rFont val="Tahoma"/>
            <family val="2"/>
          </rPr>
          <t>Структура расклада у вистующих:
7 карт&lt;---&gt;0
7(8)&lt;---&gt;8(7)</t>
        </r>
      </text>
    </comment>
    <comment ref="D72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78+4 карты&lt;---&gt;1 карта
</t>
        </r>
      </text>
    </comment>
    <comment ref="E72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78+3 карты&lt;---&gt;2 карты
</t>
        </r>
      </text>
    </comment>
    <comment ref="C76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</t>
        </r>
      </text>
    </comment>
    <comment ref="D76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</t>
        </r>
      </text>
    </comment>
    <comment ref="C74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8(9)---&gt;9(8)+3 карты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74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E74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89&lt;---&gt;ТКД
ТКД9(8)---&gt;8(9)
Вероятность этих раскладов 12,38%
=(2*ЧИСЛКОМБ(2;2)*ЧИСЛКОМБ(3;0)*ЧИСЛКОМБ(15;8)+ЧИСЛКОМБ(3;3)*ЧИСЛКОМБ(2;1)*ЧИСЛКОМБ(15;6))/ЧИСЛКОМБ(20;10)*100</t>
        </r>
      </text>
    </comment>
    <comment ref="C78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
7---&gt;5 карт</t>
        </r>
      </text>
    </comment>
    <comment ref="D78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
7+1 карта---&gt;9+3 карты</t>
        </r>
      </text>
    </comment>
    <comment ref="C77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789ВДКТ&lt;---&gt;0</t>
        </r>
      </text>
    </comment>
    <comment ref="D77" authorId="0">
      <text>
        <r>
          <rPr>
            <sz val="8"/>
            <rFont val="Tahoma"/>
            <family val="2"/>
          </rPr>
          <t>В дополнение к колонке 0-0 надо добавить расклад, при котором вистующие</t>
        </r>
        <r>
          <rPr>
            <sz val="8"/>
            <rFont val="Tahoma"/>
            <family val="2"/>
          </rPr>
          <t xml:space="preserve"> ловят дырку:
789+3 карты&lt;---&gt;1 карта
</t>
        </r>
      </text>
    </comment>
    <comment ref="E77" authorId="0">
      <text>
        <r>
          <rPr>
            <sz val="8"/>
            <rFont val="Tahoma"/>
            <family val="2"/>
          </rPr>
          <t xml:space="preserve">В дополнение к колонке 0-1 надо добавить расклад, при котором вистующие ловят дырку:
789+2 карты&lt;---&gt;2 карты
</t>
        </r>
      </text>
    </comment>
    <comment ref="C75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8(9)---&gt;9(8)+ВТК
8(9)+1 карта---&gt;9(8)+2 карты
89---&gt;ВКТ</t>
        </r>
        <r>
          <rPr>
            <b/>
            <sz val="8"/>
            <rFont val="Tahoma"/>
            <family val="0"/>
          </rPr>
          <t xml:space="preserve">
</t>
        </r>
      </text>
    </comment>
    <comment ref="D75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E75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ТКВ---&gt;89
ТКВ9(8)---&gt;8(9)
Вероятность этих раскладов 8,90%
=(ЧИСЛКОМБ(2;2)*ЧИСЛКОМБ(3;0)*ЧИСЛКОМБ(15;8)+ЧИСЛКОМБ(3;3)*ЧИСЛКОМБ(2;1)*ЧИСЛКОМБ(15;6))/ЧИСЛКОМБ(20;10)*100</t>
        </r>
      </text>
    </comment>
    <comment ref="C7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8910 + 2 карты&lt;---&gt;1 карта
8(9)(10) + 1 карта---&gt;4 карты
8(9)(10) + 2 карты---&gt;3 карты
8(9)(10) + 3 карты---&gt;2 карты</t>
        </r>
      </text>
    </comment>
    <comment ref="D79" authorId="0">
      <text>
        <r>
          <rPr>
            <sz val="8"/>
            <rFont val="Tahoma"/>
            <family val="2"/>
          </rPr>
          <t xml:space="preserve">В дополнение к колонке 0-0
надо добавить 2 расклада, при которых дырка ловится (с учетом 1-го проноса):
8910 + 2 карты&lt;---&gt;1 карта
8(9)(10) + 1 карта---&gt;4 карты
---
При этом, 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8(9)(10) + 2 карты---&gt;3 карты
8(9)(10) + 3 карты---&gt;2 карты</t>
        </r>
      </text>
    </comment>
    <comment ref="E79" authorId="0">
      <text>
        <r>
          <rPr>
            <sz val="8"/>
            <rFont val="Tahoma"/>
            <family val="2"/>
          </rPr>
          <t xml:space="preserve">В дополнение к колонке 0-1
надо добавить 2 расклада, при которых дырка ловится (с учетом 2-х проносов):
8910 + 1 карта&lt;---&gt;2 карты
8(9)(10) + 2 карты---&gt;3 карты
---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в.у. раскладах:
8910&lt;---&gt;3 карты
8(9)(10) + 3 карты---&gt;2 карты
Вероятность этих раскладов 8,59%
=(2*ЧИСЛКОМБ(3;3)*ЧИСЛКОМБ(3;0)*ЧИСЛКОМБ(14;7)+ЧИСЛКОМБ(3;1)*ЧИСЛКОМБ(3;3)*ЧИСЛКОМБ(14;6))/ЧИСЛКОМБ(20;10)*100</t>
        </r>
      </text>
    </comment>
    <comment ref="F71" authorId="0">
      <text>
        <r>
          <rPr>
            <sz val="8"/>
            <rFont val="Tahoma"/>
            <family val="2"/>
          </rPr>
          <t>В добавление к колонке 0-2
Структура расклада у вистующих:
7+3 карты&lt;---&gt;3 карты</t>
        </r>
        <r>
          <rPr>
            <sz val="8"/>
            <rFont val="Tahoma"/>
            <family val="0"/>
          </rPr>
          <t xml:space="preserve">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0"/>
          </rPr>
          <t xml:space="preserve"> ловится (при 3-х проносах) при следующих раскладах:
7+2 карты&lt;---&gt;4 карты
7+1 карта&lt;---&gt;5 карт
7&lt;---&gt;6 карт
Вероятность этого расклада </t>
        </r>
        <r>
          <rPr>
            <b/>
            <sz val="8"/>
            <rFont val="Tahoma"/>
            <family val="2"/>
          </rPr>
          <t>37,00</t>
        </r>
        <r>
          <rPr>
            <sz val="8"/>
            <rFont val="Tahoma"/>
            <family val="0"/>
          </rPr>
          <t>%
=2*ЧИСЛКОМБ(1;1)*(ЧИСЛКОМБ(6;2)*ЧИСЛКОМБ(13;7)+ЧИСЛКОМБ(6;1)*ЧИСЛКОМБ(13;8)+ЧИСЛКОМБ(6;0)*ЧИСЛКОМБ(13;9))/ЧИСЛКОМБ(20;10)*100</t>
        </r>
      </text>
    </comment>
    <comment ref="F72" authorId="0">
      <text>
        <r>
          <rPr>
            <sz val="8"/>
            <rFont val="Tahoma"/>
            <family val="2"/>
          </rPr>
          <t xml:space="preserve">В дополнение к колонке 0-2
Структура расклада у вистующих:
78+2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3-х проносах) при следующих раскладах:
78+1 карта&lt;---&gt;4 карты
78&lt;---&gt;5 карт
Вероятность этого расклада </t>
        </r>
        <r>
          <rPr>
            <b/>
            <sz val="8"/>
            <rFont val="Tahoma"/>
            <family val="2"/>
          </rPr>
          <t>10,68</t>
        </r>
        <r>
          <rPr>
            <sz val="8"/>
            <rFont val="Tahoma"/>
            <family val="2"/>
          </rPr>
          <t>%
=2*ЧИСЛКОМБ(2;2)*(ЧИСЛКОМБ(5;1)*ЧИСЛКОМБ(13;7)+ЧИСЛКОМБ(5;0)*ЧИСЛКОМБ(13;8))/ЧИСЛКОМБ(20;10)*100</t>
        </r>
      </text>
    </comment>
    <comment ref="F76" authorId="0">
      <text>
        <r>
          <rPr>
            <sz val="8"/>
            <rFont val="Tahoma"/>
            <family val="2"/>
          </rPr>
          <t xml:space="preserve">В дополнение к колонке 0-2
Структура расклада у вистующих:
7+1 карта&lt;---&gt;4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3-х и </t>
        </r>
        <r>
          <rPr>
            <b/>
            <sz val="8"/>
            <rFont val="Tahoma"/>
            <family val="2"/>
          </rPr>
          <t>4-х</t>
        </r>
        <r>
          <rPr>
            <sz val="8"/>
            <rFont val="Tahoma"/>
            <family val="2"/>
          </rPr>
          <t xml:space="preserve"> проносах) при следующих раскладах:
7&lt;---&gt;5 карт
Вероятность этих раскладов </t>
        </r>
        <r>
          <rPr>
            <b/>
            <sz val="8"/>
            <rFont val="Tahoma"/>
            <family val="2"/>
          </rPr>
          <t>2,17</t>
        </r>
        <r>
          <rPr>
            <sz val="8"/>
            <rFont val="Tahoma"/>
            <family val="2"/>
          </rPr>
          <t>%
=2*ЧИСЛКОМБ(1;1)*ЧИСЛКОМБ(5;0)*ЧИСЛКОМБ(14;9)/ЧИСЛКОМБ(20;10)*100</t>
        </r>
      </text>
    </comment>
    <comment ref="F74" authorId="0">
      <text>
        <r>
          <rPr>
            <sz val="8"/>
            <rFont val="Tahoma"/>
            <family val="2"/>
          </rPr>
          <t>В дополнение к колонке 0-2
Структура расклада у вистующих:
89&lt;---&gt;ТКД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 xml:space="preserve">ловится (при 3-х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ТКД+9(8)---&gt;8(9)
Вероятность этих раскладов </t>
        </r>
        <r>
          <rPr>
            <b/>
            <sz val="8"/>
            <rFont val="Tahoma"/>
            <family val="2"/>
          </rPr>
          <t>5,42</t>
        </r>
        <r>
          <rPr>
            <sz val="8"/>
            <rFont val="Tahoma"/>
            <family val="2"/>
          </rPr>
          <t>%
=ЧИСЛКОМБ(3;3)*ЧИСЛКОМБ(2;1)*ЧИСЛКОМБ(15;6)/ЧИСЛКОМБ(20;10)*100</t>
        </r>
      </text>
    </comment>
    <comment ref="F77" authorId="0">
      <text>
        <r>
          <rPr>
            <sz val="8"/>
            <rFont val="Tahoma"/>
            <family val="2"/>
          </rPr>
          <t xml:space="preserve">В дополнение к колонке 0-2 надо добавить расклад, при котором вистующие ловят дырку:
789+1 карты&lt;---&gt;3 карты
---
Альтернативный метод проще:
Вистующие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(при 3-х проносах) на следующем раскладе:
789&lt;---&gt;4 карты
</t>
        </r>
      </text>
    </comment>
    <comment ref="F75" authorId="0">
      <text>
        <r>
          <rPr>
            <sz val="8"/>
            <rFont val="Tahoma"/>
            <family val="2"/>
          </rPr>
          <t>В дополнение к колонке 0-2
Структура расклада у вистующих:
ТКВ---&gt;89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 xml:space="preserve">ловится (при 3-х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ТКВ+9(8)---&gt;8(9)
Вероятность этих раскладов </t>
        </r>
        <r>
          <rPr>
            <b/>
            <sz val="8"/>
            <rFont val="Tahoma"/>
            <family val="2"/>
          </rPr>
          <t>5,42</t>
        </r>
        <r>
          <rPr>
            <sz val="8"/>
            <rFont val="Tahoma"/>
            <family val="2"/>
          </rPr>
          <t>%
=ЧИСЛКОМБ(3;3)*ЧИСЛКОМБ(2;1)*ЧИСЛКОМБ(15;6)/ЧИСЛКОМБ(20;10)*100</t>
        </r>
      </text>
    </comment>
    <comment ref="F8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отсутствует, поскольку  3 берущие карты можно пронести за 3 проноса
</t>
        </r>
      </text>
    </comment>
    <comment ref="F73" authorId="0">
      <text>
        <r>
          <rPr>
            <sz val="8"/>
            <rFont val="Tahoma"/>
            <family val="2"/>
          </rPr>
          <t xml:space="preserve">В добавление к колонке 0-2
Структура расклада у вистующих:
89+1 карта&lt;---&gt;3 карты
8(9)+3 карты---&gt;9(8)+1 карта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3-х проносах) при следующих раскладах:
89&lt;---&gt;ТКДВ
ТКДВ+8(9)---&gt;9(8)
Вероятность этих раскладов </t>
        </r>
        <r>
          <rPr>
            <b/>
            <sz val="8"/>
            <rFont val="Tahoma"/>
            <family val="2"/>
          </rPr>
          <t>5,42</t>
        </r>
        <r>
          <rPr>
            <sz val="8"/>
            <rFont val="Tahoma"/>
            <family val="2"/>
          </rPr>
          <t>%
=ЧИСЛКОМБ(4;4)*(2*ЧИСЛКОМБ(2;0)*ЧИСЛКОМБ(14;6)+ЧИСЛКОМБ(2;1)*ЧИСЛКОМБ(14;5))/ЧИСЛКОМБ(20;10)*100</t>
        </r>
      </text>
    </comment>
    <comment ref="E50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78+3 карты&lt;---&gt;2 карты
</t>
        </r>
      </text>
    </comment>
    <comment ref="E29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78+3 карты&lt;---&gt;2 карты
</t>
        </r>
      </text>
    </comment>
    <comment ref="F7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отсутствует, поскольку  3 берущие карты можно пронести за 3 проноса
</t>
        </r>
      </text>
    </comment>
    <comment ref="F78" authorId="0">
      <text>
        <r>
          <rPr>
            <sz val="8"/>
            <rFont val="Tahoma"/>
            <family val="2"/>
          </rPr>
          <t xml:space="preserve">В дополнение к колонке 0-2
Структура расклада у вистующих:
9+3 карты---&gt;7+1 карта
79&lt;---&gt;4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3-х и </t>
        </r>
        <r>
          <rPr>
            <b/>
            <sz val="8"/>
            <rFont val="Tahoma"/>
            <family val="2"/>
          </rPr>
          <t>4-х</t>
        </r>
        <r>
          <rPr>
            <sz val="8"/>
            <rFont val="Tahoma"/>
            <family val="2"/>
          </rPr>
          <t xml:space="preserve"> проносах) при следующих раскладах:
5 карт---&gt;7
Вероятность этих раскладов </t>
        </r>
        <r>
          <rPr>
            <b/>
            <sz val="8"/>
            <rFont val="Tahoma"/>
            <family val="2"/>
          </rPr>
          <t>1,08</t>
        </r>
        <r>
          <rPr>
            <sz val="8"/>
            <rFont val="Tahoma"/>
            <family val="2"/>
          </rPr>
          <t>%
=ЧИСЛКОМБ(1;1)*ЧИСЛКОМБ(5;0)*ЧИСЛКОМБ(14;9)/ЧИСЛКОМБ(20;10)*100</t>
        </r>
      </text>
    </comment>
    <comment ref="C81" authorId="0">
      <text>
        <r>
          <rPr>
            <sz val="8"/>
            <rFont val="Tahoma"/>
            <family val="2"/>
          </rPr>
          <t>Структура расклада у вистующих:
5 карт&lt;---&gt;0
4 карты&lt;---&gt;1 карта
2 карты---&gt;2 карты + Т
9(8)+ВД&lt;---&gt;8(9)+Т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89+В(Д)---&gt;Д(В)+Т</t>
        </r>
      </text>
    </comment>
    <comment ref="D81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В(Д)+Т---&gt;89+Д(В)
Т89---&gt;ДВ
</t>
        </r>
        <r>
          <rPr>
            <b/>
            <sz val="8"/>
            <rFont val="Tahoma"/>
            <family val="0"/>
          </rPr>
          <t xml:space="preserve">
</t>
        </r>
      </text>
    </comment>
    <comment ref="E81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Т+8(9)В(Д)---&gt;9(8)+Д(В)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ТДВ---&gt;89
Вероятность этих раскладов 3,48%
=ЧИСЛКОМБ(3;3)*ЧИСЛКОМБ(2;0)*ЧИСЛКОМБ(15;7)/ЧИСЛКОМБ(20;10)*100</t>
        </r>
      </text>
    </comment>
    <comment ref="F81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отсутствует
</t>
        </r>
      </text>
    </comment>
    <comment ref="E16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9+3 карты---&gt;7+1 карта
5 карт---&gt;7
79&lt;---&gt;4 карты
Вероятность этих раскладов </t>
        </r>
        <r>
          <rPr>
            <b/>
            <sz val="8"/>
            <rFont val="Tahoma"/>
            <family val="2"/>
          </rPr>
          <t>10,84</t>
        </r>
        <r>
          <rPr>
            <sz val="8"/>
            <rFont val="Tahoma"/>
            <family val="2"/>
          </rPr>
          <t>%
=(ЧИСЛКОМБ(1;1)*ЧИСЛКОМБ(1;0)*ЧИСЛКОМБ(4;1)*ЧИСЛКОМБ(14;8)+ЧИСЛКОМБ(1;1)*ЧИСЛКОМБ(5;0)*ЧИСЛКОМБ(14;9)+2*ЧИСЛКОМБ(2;2)*ЧИСЛКОМБ(4;0)*ЧИСЛКОМБ(14;8))/ЧИСЛКОМБ(20;10)*100</t>
        </r>
      </text>
    </comment>
    <comment ref="G52" authorId="0">
      <text>
        <r>
          <rPr>
            <sz val="8"/>
            <rFont val="Tahoma"/>
            <family val="2"/>
          </rPr>
          <t xml:space="preserve">В дополнение к колонке 1-0
надо добавить 2 расклада, при которых дырка ловится (с учетом 1-го проноса):
8910 +1 карта&lt;---&gt;1 карта
8(9)(10) + 1 карта---&gt;3 карты
---
При этом структура расклада у вистующих, при которой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8(9)(10) + 2 карты---&gt;2 карты
</t>
        </r>
      </text>
    </comment>
    <comment ref="H52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вистующих, при которой они ловят эту дырку (с учетом 2-х проносов):
8910&lt;---&gt;2 карты
8(9)(10) + 2 карты---&gt;2 карты
</t>
        </r>
      </text>
    </comment>
    <comment ref="D14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E14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D42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D43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810В&lt;---&gt;0
</t>
        </r>
      </text>
    </comment>
    <comment ref="E43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810В&lt;---&gt;0
</t>
        </r>
      </text>
    </comment>
    <comment ref="E19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D45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E45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E55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E56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89&lt;---&gt;ТВ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</t>
        </r>
        <r>
          <rPr>
            <b/>
            <sz val="8"/>
            <rFont val="Tahoma"/>
            <family val="2"/>
          </rPr>
          <t xml:space="preserve"> и более</t>
        </r>
        <r>
          <rPr>
            <sz val="8"/>
            <rFont val="Tahoma"/>
            <family val="2"/>
          </rPr>
          <t xml:space="preserve">  проносах) при следующих раскладах:
ТВ8(9)---&gt;9(8)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D24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D47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D57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E57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E26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D58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E58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D30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E30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C51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D51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E51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E17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810В&lt;---&gt;0
</t>
        </r>
      </text>
    </comment>
    <comment ref="E48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9+3 карты---&gt;7+1 карта
5 карт---&gt;7
79&lt;---&gt;4 карты
Вероятность этих раскладов </t>
        </r>
        <r>
          <rPr>
            <b/>
            <sz val="8"/>
            <rFont val="Tahoma"/>
            <family val="2"/>
          </rPr>
          <t>10,84</t>
        </r>
        <r>
          <rPr>
            <sz val="8"/>
            <rFont val="Tahoma"/>
            <family val="2"/>
          </rPr>
          <t>%
=(ЧИСЛКОМБ(1;1)*ЧИСЛКОМБ(1;0)*ЧИСЛКОМБ(4;1)*ЧИСЛКОМБ(14;8)+ЧИСЛКОМБ(1;1)*ЧИСЛКОМБ(5;0)*ЧИСЛКОМБ(14;9)+2*ЧИСЛКОМБ(2;2)*ЧИСЛКОМБ(4;0)*ЧИСЛКОМБ(14;8))/ЧИСЛКОМБ(20;10)*100</t>
        </r>
      </text>
    </comment>
    <comment ref="E78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9+3 карты---&gt;7+1 карта
5 карт---&gt;7
79&lt;---&gt;4 карты
Вероятность этих раскладов </t>
        </r>
        <r>
          <rPr>
            <b/>
            <sz val="8"/>
            <rFont val="Tahoma"/>
            <family val="2"/>
          </rPr>
          <t>10,84</t>
        </r>
        <r>
          <rPr>
            <sz val="8"/>
            <rFont val="Tahoma"/>
            <family val="2"/>
          </rPr>
          <t>%
=(ЧИСЛКОМБ(1;1)*ЧИСЛКОМБ(1;0)*ЧИСЛКОМБ(4;1)*ЧИСЛКОМБ(14;8)+ЧИСЛКОМБ(1;1)*ЧИСЛКОМБ(5;0)*ЧИСЛКОМБ(14;9)+2*ЧИСЛКОМБ(2;2)*ЧИСЛКОМБ(4;0)*ЧИСЛКОМБ(14;8))/ЧИСЛКОМБ(20;10)*100</t>
        </r>
      </text>
    </comment>
    <comment ref="E46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7&lt;---&gt;5 карт
7+1 карта&lt;---&gt;4 карты
Вероятность этих раскладов </t>
        </r>
        <r>
          <rPr>
            <b/>
            <sz val="8"/>
            <rFont val="Tahoma"/>
            <family val="2"/>
          </rPr>
          <t>18,42</t>
        </r>
        <r>
          <rPr>
            <sz val="8"/>
            <rFont val="Tahoma"/>
            <family val="2"/>
          </rPr>
          <t>%
=2*ЧИСЛКОМБ(1;1)*(ЧИСЛКОМБ(5;0)*ЧИСЛКОМБ(14;9)+ЧИСЛКОМБ(5;1)*ЧИСЛКОМБ(14;8))/ЧИСЛКОМБ(20;10)*100</t>
        </r>
      </text>
    </comment>
    <comment ref="E76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7&lt;---&gt;5 карт
7+1 карта&lt;---&gt;4 карты
Вероятность этих раскладов </t>
        </r>
        <r>
          <rPr>
            <b/>
            <sz val="8"/>
            <rFont val="Tahoma"/>
            <family val="2"/>
          </rPr>
          <t>18,42</t>
        </r>
        <r>
          <rPr>
            <sz val="8"/>
            <rFont val="Tahoma"/>
            <family val="2"/>
          </rPr>
          <t>%
=2*ЧИСЛКОМБ(1;1)*(ЧИСЛКОМБ(5;0)*ЧИСЛКОМБ(14;9)+ЧИСЛКОМБ(5;1)*ЧИСЛКОМБ(14;8))/ЧИСЛКОМБ(20;10)*100</t>
        </r>
      </text>
    </comment>
    <comment ref="F87" authorId="0">
      <text>
        <r>
          <rPr>
            <sz val="8"/>
            <rFont val="Tahoma"/>
            <family val="2"/>
          </rPr>
          <t>В добавление к колонке 1-2
Структура расклада у вистующих:
7+2 карты&lt;---&gt;3 карты</t>
        </r>
        <r>
          <rPr>
            <sz val="8"/>
            <rFont val="Tahoma"/>
            <family val="0"/>
          </rPr>
          <t xml:space="preserve">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0"/>
          </rPr>
          <t xml:space="preserve"> ловится (при 3-х проносах) при следующих раскладах:
7+1 карта&lt;---&gt;4 карты
7&lt;---&gt;5 карт
Вероятность этого расклада </t>
        </r>
        <r>
          <rPr>
            <b/>
            <sz val="8"/>
            <rFont val="Tahoma"/>
            <family val="2"/>
          </rPr>
          <t>18,42</t>
        </r>
        <r>
          <rPr>
            <sz val="8"/>
            <rFont val="Tahoma"/>
            <family val="0"/>
          </rPr>
          <t>%
=2*ЧИСЛКОМБ(1;1)*(ЧИСЛКОМБ(5;1)*ЧИСЛКОМБ(14;8)+ЧИСЛКОМБ(5;0)*ЧИСЛКОМБ(14;9))/ЧИСЛКОМБ(20;10)*100</t>
        </r>
      </text>
    </comment>
    <comment ref="F92" authorId="0">
      <text>
        <r>
          <rPr>
            <sz val="8"/>
            <rFont val="Tahoma"/>
            <family val="2"/>
          </rPr>
          <t xml:space="preserve">В дополнение к колонке 1-2
Структура расклада у вистующих:
78+1 карта&lt;---&gt;3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3-х проносах) при следующих раскладах:
78&lt;---&gt;4 карты
Вероятность этого расклада </t>
        </r>
        <r>
          <rPr>
            <b/>
            <sz val="8"/>
            <rFont val="Tahoma"/>
            <family val="2"/>
          </rPr>
          <t>3,25</t>
        </r>
        <r>
          <rPr>
            <sz val="8"/>
            <rFont val="Tahoma"/>
            <family val="2"/>
          </rPr>
          <t>%
=2*ЧИСЛКОМБ(2;2)*ЧИСЛКОМБ(4;0)*ЧИСЛКОМБ(14;8)/ЧИСЛКОМБ(20;10)*100</t>
        </r>
      </text>
    </comment>
    <comment ref="F91" authorId="0">
      <text>
        <r>
          <rPr>
            <sz val="8"/>
            <rFont val="Tahoma"/>
            <family val="2"/>
          </rPr>
          <t xml:space="preserve">В добавление к колонке 1-2
Структура расклада у вистующих:
89&lt;---&gt;3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3-х</t>
        </r>
        <r>
          <rPr>
            <b/>
            <sz val="8"/>
            <rFont val="Tahoma"/>
            <family val="2"/>
          </rPr>
          <t xml:space="preserve"> и более</t>
        </r>
        <r>
          <rPr>
            <sz val="8"/>
            <rFont val="Tahoma"/>
            <family val="2"/>
          </rPr>
          <t xml:space="preserve">  проносах) при следующих раскладах:
3 карты+8(9)---&gt;9(8)
Вероятность этих раскладов </t>
        </r>
        <r>
          <rPr>
            <b/>
            <sz val="8"/>
            <rFont val="Tahoma"/>
            <family val="2"/>
          </rPr>
          <t>5,42</t>
        </r>
        <r>
          <rPr>
            <sz val="8"/>
            <rFont val="Tahoma"/>
            <family val="2"/>
          </rPr>
          <t>%
=ЧИСЛКОМБ(3;3)*ЧИСЛКОМБ(2;1)*ЧИСЛКОМБ(15;6)/ЧИСЛКОМБ(20;10)*100</t>
        </r>
      </text>
    </comment>
    <comment ref="C87" authorId="0">
      <text>
        <r>
          <rPr>
            <sz val="8"/>
            <rFont val="Tahoma"/>
            <family val="2"/>
          </rPr>
          <t>Структура расклада у вистующих:
6 карт&lt;---&gt;0</t>
        </r>
        <r>
          <rPr>
            <sz val="8"/>
            <rFont val="Tahoma"/>
            <family val="0"/>
          </rPr>
          <t xml:space="preserve">
</t>
        </r>
      </text>
    </comment>
    <comment ref="D87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7+4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E87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7+3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C92" authorId="0">
      <text>
        <r>
          <rPr>
            <sz val="8"/>
            <rFont val="Tahoma"/>
            <family val="2"/>
          </rPr>
          <t>Структура расклада у вистующих:
6 карт&lt;---&gt;0
7(8)&lt;---&gt;8(7)</t>
        </r>
      </text>
    </comment>
    <comment ref="D92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78+3 карты&lt;---&gt;1 карта
</t>
        </r>
      </text>
    </comment>
    <comment ref="E92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78+2 карты&lt;---&gt;2 карты
</t>
        </r>
      </text>
    </comment>
    <comment ref="C91" authorId="0">
      <text>
        <r>
          <rPr>
            <sz val="8"/>
            <rFont val="Tahoma"/>
            <family val="2"/>
          </rPr>
          <t>Структура расклада у вистующих:
5 карт&lt;---&gt;0
8(9)---&gt;9(8)+3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91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89+2 карты&lt;---&gt;1 карта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91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89+1 карта&lt;---&gt;2 карты
8(9)+2 карты---&gt;9(8)+1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88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88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E88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C89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89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E89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C90" authorId="0">
      <text>
        <r>
          <rPr>
            <sz val="8"/>
            <rFont val="Tahoma"/>
            <family val="2"/>
          </rPr>
          <t xml:space="preserve">Структура расклада у вистующих:
5 карт&lt;---&gt;0
7+3 карты&lt;---&gt;1 карта
</t>
        </r>
      </text>
    </comment>
    <comment ref="D90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7+2 карты&lt;---&gt;2 карты
</t>
        </r>
      </text>
    </comment>
    <comment ref="E90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7+1 карта&lt;---&gt;3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7&lt;---&gt;4 карты
Вероятность этих раскладов </t>
        </r>
        <r>
          <rPr>
            <b/>
            <sz val="8"/>
            <rFont val="Tahoma"/>
            <family val="2"/>
          </rPr>
          <t>5,41</t>
        </r>
        <r>
          <rPr>
            <sz val="8"/>
            <rFont val="Tahoma"/>
            <family val="2"/>
          </rPr>
          <t xml:space="preserve">%
=2*ЧИСЛКОМБ(1;1)*ЧИСЛКОМБ(4;0)*ЧИСЛКОМБ(15;9)/ЧИСЛКОМБ(20;10)*100
</t>
        </r>
      </text>
    </comment>
    <comment ref="C94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6 карт&lt;---&gt;0</t>
        </r>
      </text>
    </comment>
    <comment ref="D94" authorId="0">
      <text>
        <r>
          <rPr>
            <sz val="8"/>
            <rFont val="Tahoma"/>
            <family val="2"/>
          </rPr>
          <t xml:space="preserve">В дополнение к колонке 0-1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789+2 карты&lt;---&gt;1 карта
</t>
        </r>
      </text>
    </comment>
    <comment ref="E94" authorId="0">
      <text>
        <r>
          <rPr>
            <sz val="8"/>
            <rFont val="Tahoma"/>
            <family val="2"/>
          </rPr>
          <t xml:space="preserve">В дополнение к колонке 1-1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789+1 карта&lt;---&gt;2 карты
</t>
        </r>
      </text>
    </comment>
    <comment ref="C93" authorId="0">
      <text>
        <r>
          <rPr>
            <sz val="8"/>
            <rFont val="Tahoma"/>
            <family val="2"/>
          </rPr>
          <t>Структура расклада у вистующих:
5 карт&lt;---&gt;0
7+3 карты&lt;---&gt;1 карта
7---&gt;4 карты</t>
        </r>
      </text>
    </comment>
    <comment ref="D93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7+2 карты&lt;---&gt;2 карты
7+1 карта---&gt;9+2 карты</t>
        </r>
      </text>
    </comment>
    <comment ref="E93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7+1 карта&lt;---&gt;3 карты 
за вычетом расклада
7+1 карта---&gt;9+2 карты, который уже был учтен ранее в колонке 1-1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4 карты ---&gt; 7
Вероятность этих раскладов  </t>
        </r>
        <r>
          <rPr>
            <b/>
            <sz val="8"/>
            <rFont val="Tahoma"/>
            <family val="2"/>
          </rPr>
          <t>2,71</t>
        </r>
        <r>
          <rPr>
            <sz val="8"/>
            <rFont val="Tahoma"/>
            <family val="2"/>
          </rPr>
          <t>%
=ЧИСЛКОМБ(1;1)*ЧИСЛКОМБ(4;0)*ЧИСЛКОМБ(15;9)/ЧИСЛКОМБ(20;10)*100</t>
        </r>
      </text>
    </comment>
    <comment ref="F88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F90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7+1 карта&lt;---&gt;3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7&lt;---&gt;4 карты
Вероятность этих раскладов </t>
        </r>
        <r>
          <rPr>
            <b/>
            <sz val="8"/>
            <rFont val="Tahoma"/>
            <family val="2"/>
          </rPr>
          <t>5,41</t>
        </r>
        <r>
          <rPr>
            <sz val="8"/>
            <rFont val="Tahoma"/>
            <family val="2"/>
          </rPr>
          <t xml:space="preserve">%
=2*ЧИСЛКОМБ(1;1)*ЧИСЛКОМБ(4;0)*ЧИСЛКОМБ(15;9)/ЧИСЛКОМБ(20;10)*100
</t>
        </r>
      </text>
    </comment>
    <comment ref="F94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отсутствует, поскольку  3 берущие карты можно пронести за 3 проноса
</t>
        </r>
      </text>
    </comment>
    <comment ref="F93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7+1 карта&lt;---&gt;3 карты 
за вычетом расклада
7+1 карта---&gt;9+2 карты, который уже был учтен ранее в колонке 1-1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4 карты ---&gt; 7
Вероятность этих раскладов  </t>
        </r>
        <r>
          <rPr>
            <b/>
            <sz val="8"/>
            <rFont val="Tahoma"/>
            <family val="2"/>
          </rPr>
          <t>2,71</t>
        </r>
        <r>
          <rPr>
            <sz val="8"/>
            <rFont val="Tahoma"/>
            <family val="2"/>
          </rPr>
          <t>%
=ЧИСЛКОМБ(1;1)*ЧИСЛКОМБ(4;0)*ЧИСЛКОМБ(15;9)/ЧИСЛКОМБ(20;10)*100</t>
        </r>
      </text>
    </comment>
    <comment ref="F89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H46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7+1 карта&lt;---&gt;3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7&lt;---&gt;4 карты
Вероятность этих раскладов </t>
        </r>
        <r>
          <rPr>
            <b/>
            <sz val="8"/>
            <rFont val="Tahoma"/>
            <family val="2"/>
          </rPr>
          <t>5,41</t>
        </r>
        <r>
          <rPr>
            <sz val="8"/>
            <rFont val="Tahoma"/>
            <family val="2"/>
          </rPr>
          <t xml:space="preserve">%
=2*ЧИСЛКОМБ(1;1)*ЧИСЛКОМБ(4;0)*ЧИСЛКОМБ(15;9)/ЧИСЛКОМБ(20;10)*100
</t>
        </r>
      </text>
    </comment>
    <comment ref="H15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7+1 карта&lt;---&gt;3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7&lt;---&gt;4 карты
Вероятность этих раскладов </t>
        </r>
        <r>
          <rPr>
            <b/>
            <sz val="8"/>
            <rFont val="Tahoma"/>
            <family val="2"/>
          </rPr>
          <t>5,41</t>
        </r>
        <r>
          <rPr>
            <sz val="8"/>
            <rFont val="Tahoma"/>
            <family val="2"/>
          </rPr>
          <t xml:space="preserve">%
=2*ЧИСЛКОМБ(1;1)*ЧИСЛКОМБ(4;0)*ЧИСЛКОМБ(15;9)/ЧИСЛКОМБ(20;10)*100
</t>
        </r>
      </text>
    </comment>
    <comment ref="D60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E60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D31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E31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C101" authorId="0">
      <text>
        <r>
          <rPr>
            <sz val="8"/>
            <rFont val="Tahoma"/>
            <family val="2"/>
          </rPr>
          <t>Структура расклада у вистующих:
5 карт&lt;---&gt;0</t>
        </r>
        <r>
          <rPr>
            <sz val="8"/>
            <rFont val="Tahoma"/>
            <family val="0"/>
          </rPr>
          <t xml:space="preserve">
</t>
        </r>
      </text>
    </comment>
    <comment ref="D101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7+ 3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E101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7+ 2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C100" authorId="0">
      <text>
        <r>
          <rPr>
            <sz val="8"/>
            <rFont val="Tahoma"/>
            <family val="2"/>
          </rPr>
          <t>Структура расклада у вистующих:
4 карты&lt;---&gt;0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100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89+ 1 карта&lt;---&gt;1 карта
8(9)+ 1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E100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89&lt;---&gt;2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C102" authorId="0">
      <text>
        <r>
          <rPr>
            <sz val="8"/>
            <rFont val="Tahoma"/>
            <family val="2"/>
          </rPr>
          <t>Структура расклада у вистующих:
5 карт&lt;---&gt;0
7(8)&lt;---&gt;8(7)</t>
        </r>
      </text>
    </comment>
    <comment ref="D102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78+ 2 карты&lt;---&gt;1 карта
</t>
        </r>
      </text>
    </comment>
    <comment ref="E102" authorId="0">
      <text>
        <r>
          <rPr>
            <sz val="8"/>
            <rFont val="Tahoma"/>
            <family val="2"/>
          </rPr>
          <t xml:space="preserve">В дополнение к колонке 2-1
Структура расклада у вистующих:
78+ 1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следующих раскладах:
78&lt;---&gt;3 карты
Вероятность этих раскладов 6,19%
=2*ЧИСЛКОМБ(2;2)*ЧИСЛКОМБ(3;0)*ЧИСЛКОМБ(15;8)/ЧИСЛКОМБ(20;10)*100</t>
        </r>
      </text>
    </comment>
    <comment ref="C103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</t>
        </r>
      </text>
    </comment>
    <comment ref="D103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E103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C104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
7---&gt;3 карты</t>
        </r>
      </text>
    </comment>
    <comment ref="D104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E104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F101" authorId="0">
      <text>
        <r>
          <rPr>
            <sz val="8"/>
            <rFont val="Tahoma"/>
            <family val="2"/>
          </rPr>
          <t>В дополнение к колонке 2-2
Структура расклада у вистующих:
7+1 карта&lt;---&gt;3 карты</t>
        </r>
        <r>
          <rPr>
            <sz val="8"/>
            <rFont val="Tahoma"/>
            <family val="0"/>
          </rPr>
          <t xml:space="preserve">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0"/>
          </rPr>
          <t xml:space="preserve"> ловится (при 3-х проносах) при следующих раскладах:
7&lt;---&gt;4 карты
Вероятность этих раскладов</t>
        </r>
        <r>
          <rPr>
            <b/>
            <sz val="8"/>
            <rFont val="Tahoma"/>
            <family val="2"/>
          </rPr>
          <t xml:space="preserve"> 5,41</t>
        </r>
        <r>
          <rPr>
            <sz val="8"/>
            <rFont val="Tahoma"/>
            <family val="0"/>
          </rPr>
          <t>%
=2*ЧИСЛКОМБ(1;1)*ЧИСЛКОМБ(4;0)*ЧИСЛКОМБ(15;9)/ЧИСЛКОМБ(20;10)*100</t>
        </r>
      </text>
    </comment>
    <comment ref="F100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89&lt;---&gt;2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F10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отсутствует, поскольку  3 берущие карты можно пронести за 3 проноса
</t>
        </r>
      </text>
    </comment>
    <comment ref="F103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отсутствует, поскольку  3 берущие карты можно пронести за 3 проноса
</t>
        </r>
      </text>
    </comment>
    <comment ref="F104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 отсутствует, поскольку  3 берущие карты можно пронести за 3 проноса
</t>
        </r>
      </text>
    </comment>
    <comment ref="I70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вистующих, при которой они ловят дырку: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I71" authorId="0">
      <text>
        <r>
          <rPr>
            <sz val="8"/>
            <rFont val="Tahoma"/>
            <family val="2"/>
          </rPr>
          <t>Вероятность ловли дырки от проносов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зависит.
Структура расклада у вистующих, при которой они ловят дырку:
810В&lt;---&gt;0
</t>
        </r>
      </text>
    </comment>
    <comment ref="K75" authorId="0">
      <text>
        <r>
          <rPr>
            <sz val="8"/>
            <rFont val="Tahoma"/>
            <family val="2"/>
          </rPr>
          <t xml:space="preserve">Снесены ТК
Вероятность ловли дырки от проносов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зависит.
Структура расклада у вистующих, при которой они ловят дырку:
810В&lt;---&gt;0
</t>
        </r>
      </text>
    </comment>
    <comment ref="I72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за исключением следующих раскладов вистующих:
4 карты&lt;---&gt;0 (пронос не нужен)
8(10)(В)---&gt;3 карты (пронос не нужен)
810В&lt;---&gt;Т (нужен 1 пронос)
</t>
        </r>
      </text>
    </comment>
    <comment ref="J72" authorId="0">
      <text>
        <r>
          <rPr>
            <sz val="8"/>
            <rFont val="Tahoma"/>
            <family val="2"/>
          </rPr>
          <t xml:space="preserve">Снесен Т (К)
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810В&lt;---&gt;0
</t>
        </r>
      </text>
    </comment>
    <comment ref="K81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3 карты&lt;---&gt;0 (пронос не нужен)
8(9)---&gt;9(8)+1 карта (пронос не нужен)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89&lt;---&gt;1 карта  (нужен 1 пронос)</t>
        </r>
      </text>
    </comment>
    <comment ref="K79" authorId="0">
      <text>
        <r>
          <rPr>
            <sz val="8"/>
            <rFont val="Tahoma"/>
            <family val="2"/>
          </rPr>
          <t>Снесены ТК
Дырка никогда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I74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I83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при следующих раскладах:
ТКДВ+8(9)---&gt;9(8)
Вероятность этих раскладов </t>
        </r>
        <r>
          <rPr>
            <b/>
            <sz val="8"/>
            <rFont val="Tahoma"/>
            <family val="2"/>
          </rPr>
          <t>2,17</t>
        </r>
        <r>
          <rPr>
            <sz val="8"/>
            <rFont val="Tahoma"/>
            <family val="2"/>
          </rPr>
          <t>%
=ЧИСЛКОМБ(4;4)*ЧИСЛКОМБ(2;1)*ЧИСЛКОМБ(14;5)/ЧИСЛКОМБ(20;10)*100</t>
        </r>
      </text>
    </comment>
    <comment ref="J83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</t>
        </r>
        <r>
          <rPr>
            <sz val="8"/>
            <rFont val="Tahoma"/>
            <family val="2"/>
          </rPr>
          <t xml:space="preserve">при следующих раскладах:
3 карты+8(9)---&gt;9(8)
Вероятность этих раскладов </t>
        </r>
        <r>
          <rPr>
            <b/>
            <sz val="8"/>
            <rFont val="Tahoma"/>
            <family val="2"/>
          </rPr>
          <t>5,42</t>
        </r>
        <r>
          <rPr>
            <sz val="8"/>
            <rFont val="Tahoma"/>
            <family val="2"/>
          </rPr>
          <t>%
=ЧИСЛКОМБ(3;3)*ЧИСЛКОМБ(2;1)*ЧИСЛКОМБ(15;6)/ЧИСЛКОМБ(20;10)*100</t>
        </r>
      </text>
    </comment>
    <comment ref="K83" authorId="0">
      <text>
        <r>
          <rPr>
            <sz val="8"/>
            <rFont val="Tahoma"/>
            <family val="2"/>
          </rPr>
          <t>Дырка никогда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</t>
        </r>
        <r>
          <rPr>
            <sz val="8"/>
            <rFont val="Tahoma"/>
            <family val="2"/>
          </rPr>
          <t xml:space="preserve">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I75" authorId="0">
      <text>
        <r>
          <rPr>
            <sz val="8"/>
            <rFont val="Tahoma"/>
            <family val="2"/>
          </rPr>
          <t>Дырка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 при следующих раскладах:
ТК+8(10)(В)---&gt;2 карты
ТК+2 карты---&gt;8(10)(В)
Т(К)+2 карты---&gt;8(10)(В)+К(Т)
Вероятность этих раскладов </t>
        </r>
        <r>
          <rPr>
            <b/>
            <sz val="8"/>
            <rFont val="Tahoma"/>
            <family val="2"/>
          </rPr>
          <t>39,47</t>
        </r>
        <r>
          <rPr>
            <sz val="8"/>
            <rFont val="Tahoma"/>
            <family val="2"/>
          </rPr>
          <t>%
=(ЧИСЛКОМБ(2;2)*(ЧИСЛКОМБ(3;1)*ЧИСЛКОМБ(15;7)+ЧИСЛКОМБ(3;2)*ЧИСЛКОМБ(15;6))+ЧИСЛКОМБ(2;1)*ЧИСЛКОМБ(3;2)*ЧИСЛКОМБ(15;7))/ЧИСЛКОМБ(20;10)*100</t>
        </r>
      </text>
    </comment>
    <comment ref="J75" authorId="0">
      <text>
        <r>
          <rPr>
            <sz val="8"/>
            <rFont val="Tahoma"/>
            <family val="2"/>
          </rPr>
          <t xml:space="preserve">Снесен Т или К (пусть, для определенности, Т)
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I81" authorId="0">
      <text>
        <r>
          <rPr>
            <sz val="8"/>
            <rFont val="Tahoma"/>
            <family val="2"/>
          </rPr>
          <t>Дырка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никогда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</t>
        </r>
        <r>
          <rPr>
            <sz val="8"/>
            <rFont val="Tahoma"/>
            <family val="2"/>
          </rPr>
          <t xml:space="preserve"> при следующих раскладах:
ТКД+9(8)---&gt;8(9)
Вероятность этих раскладов </t>
        </r>
        <r>
          <rPr>
            <b/>
            <sz val="8"/>
            <rFont val="Tahoma"/>
            <family val="2"/>
          </rPr>
          <t>5,42</t>
        </r>
        <r>
          <rPr>
            <sz val="8"/>
            <rFont val="Tahoma"/>
            <family val="2"/>
          </rPr>
          <t>%
=ЧИСЛКОМБ(3;3)*ЧИСЛКОМБ(2;1)*ЧИСЛКОМБ(15;6)/ЧИСЛКОМБ(20;10)*100</t>
        </r>
      </text>
    </comment>
    <comment ref="J81" authorId="0">
      <text>
        <r>
          <rPr>
            <sz val="8"/>
            <rFont val="Tahoma"/>
            <family val="2"/>
          </rPr>
          <t xml:space="preserve">Дырк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</t>
        </r>
        <r>
          <rPr>
            <sz val="8"/>
            <rFont val="Tahoma"/>
            <family val="2"/>
          </rPr>
          <t xml:space="preserve">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I79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</t>
        </r>
        <r>
          <rPr>
            <sz val="8"/>
            <rFont val="Tahoma"/>
            <family val="2"/>
          </rPr>
          <t xml:space="preserve"> при следующих раскладах:
ТК8(9)---&gt;9(8)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J79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3 карты&lt;---&gt;0 (пронос не нужен)
8(9)---&gt;9(8)+1 карта (пронос не нужен)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89&lt;---&gt;1 карта  (нужен 1 пронос)</t>
        </r>
      </text>
    </comment>
    <comment ref="I80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 при следующих раскладах:
Т(К)В8(9)---&gt;9(8)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J80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3 карты&lt;---&gt;0 (пронос не нужен)
8(9)---&gt;9(8)+1 карта (пронос не нужен)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89&lt;---&gt;1 карта  (нужен 1 пронос)</t>
        </r>
      </text>
    </comment>
    <comment ref="I76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3 карты&lt;---&gt;0 (пронос не нужен)
8(9)---&gt;9(8)+1 карта (пронос не нужен)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89&lt;---&gt;1 карта  (нужен 1 пронос)</t>
        </r>
      </text>
    </comment>
    <comment ref="J76" authorId="0">
      <text>
        <r>
          <rPr>
            <sz val="8"/>
            <rFont val="Tahoma"/>
            <family val="2"/>
          </rPr>
          <t>Снесен Т
Дырка никогда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I73" authorId="0">
      <text>
        <r>
          <rPr>
            <sz val="8"/>
            <rFont val="Tahoma"/>
            <family val="2"/>
          </rPr>
          <t>Дырка никогда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I77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3 карты&lt;---&gt;0 (пронос не нужен)
8(9)---&gt;9(8)+1 карта (пронос не нужен)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89&lt;---&gt;1 карта  (нужен 1 пронос)</t>
        </r>
      </text>
    </comment>
    <comment ref="I82" authorId="0">
      <text>
        <r>
          <rPr>
            <sz val="8"/>
            <rFont val="Tahoma"/>
            <family val="2"/>
          </rPr>
          <t>Дырка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никогда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 xml:space="preserve">ловится при следующих раскладах:
ТКВ+9(8)---&gt;8(9)
Вероятность этих раскладов </t>
        </r>
        <r>
          <rPr>
            <b/>
            <sz val="8"/>
            <rFont val="Tahoma"/>
            <family val="2"/>
          </rPr>
          <t>5,42</t>
        </r>
        <r>
          <rPr>
            <sz val="8"/>
            <rFont val="Tahoma"/>
            <family val="2"/>
          </rPr>
          <t>%
=ЧИСЛКОМБ(3;3)*ЧИСЛКОМБ(2;1)*ЧИСЛКОМБ(15;6)/ЧИСЛКОМБ(20;10)*100</t>
        </r>
      </text>
    </comment>
    <comment ref="J82" authorId="0">
      <text>
        <r>
          <rPr>
            <sz val="8"/>
            <rFont val="Tahoma"/>
            <family val="2"/>
          </rPr>
          <t xml:space="preserve">Дырк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</t>
        </r>
        <r>
          <rPr>
            <sz val="8"/>
            <rFont val="Tahoma"/>
            <family val="2"/>
          </rPr>
          <t xml:space="preserve">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K82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за исключением следующих раскладов вистующих:
3 карты&lt;---&gt;0 (пронос не нужен)
8(9)---&gt;9(8)+1 карта (пронос не нужен)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89&lt;---&gt;1 карта  (нужен 1 пронос)</t>
        </r>
      </text>
    </comment>
    <comment ref="J74" authorId="0">
      <text>
        <r>
          <rPr>
            <sz val="8"/>
            <rFont val="Tahoma"/>
            <family val="2"/>
          </rPr>
          <t>Снесена Д
Вероятность ловли дырки от проносов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зависит.
Структура расклада у вистующих, при которой они ловят дырку:
810В&lt;---&gt;0
</t>
        </r>
      </text>
    </comment>
    <comment ref="I78" authorId="0">
      <text>
        <r>
          <rPr>
            <sz val="8"/>
            <rFont val="Tahoma"/>
            <family val="2"/>
          </rPr>
          <t xml:space="preserve">Дырка никогда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</t>
        </r>
        <r>
          <rPr>
            <sz val="8"/>
            <rFont val="Tahoma"/>
            <family val="2"/>
          </rPr>
          <t xml:space="preserve">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J78" authorId="0">
      <text>
        <r>
          <rPr>
            <sz val="8"/>
            <rFont val="Tahoma"/>
            <family val="2"/>
          </rPr>
          <t>Снесен Т
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E49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810В&lt;---&gt;ТК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ТК+8(10)(В)---&gt;2 карты
ТК+2 карты---&gt;8(10)(В)
Т(К)+2 карты---&gt;8(10)(В)+К(Т)
Вероятность этих раскладов </t>
        </r>
        <r>
          <rPr>
            <b/>
            <sz val="8"/>
            <rFont val="Tahoma"/>
            <family val="2"/>
          </rPr>
          <t>39,47</t>
        </r>
        <r>
          <rPr>
            <sz val="8"/>
            <rFont val="Tahoma"/>
            <family val="2"/>
          </rPr>
          <t>%
=(ЧИСЛКОМБ(2;2)*(ЧИСЛКОМБ(3;1)*ЧИСЛКОМБ(15;7)+ЧИСЛКОМБ(3;2)*ЧИСЛКОМБ(15;6))+ЧИСЛКОМБ(2;1)*ЧИСЛКОМБ(3;2)*ЧИСЛКОМБ(15;7))/ЧИСЛКОМБ(20;10)*100</t>
        </r>
      </text>
    </comment>
    <comment ref="E18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810В&lt;---&gt;ТК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ТК+8(10)(В)---&gt;2 карты
ТК+2 карты---&gt;8(10)(В)
Т(К)+2 карты---&gt;8(10)(В)+К(Т)
Вероятность этих раскладов </t>
        </r>
        <r>
          <rPr>
            <b/>
            <sz val="8"/>
            <rFont val="Tahoma"/>
            <family val="2"/>
          </rPr>
          <t>39,47</t>
        </r>
        <r>
          <rPr>
            <sz val="8"/>
            <rFont val="Tahoma"/>
            <family val="2"/>
          </rPr>
          <t>%
=(ЧИСЛКОМБ(2;2)*(ЧИСЛКОМБ(3;1)*ЧИСЛКОМБ(15;7)+ЧИСЛКОМБ(3;2)*ЧИСЛКОМБ(15;6))+ЧИСЛКОМБ(2;1)*ЧИСЛКОМБ(3;2)*ЧИСЛКОМБ(15;7))/ЧИСЛКОМБ(20;10)*100</t>
        </r>
      </text>
    </comment>
    <comment ref="G49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H49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G18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H18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E70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810В&lt;---&gt;ТК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ТК+8(10)(В)---&gt;2 карты
ТК+2 карты---&gt;8(10)(В)
Т(К)+2 карты---&gt;8(10)(В)+К(Т)
Вероятность этих раскладов </t>
        </r>
        <r>
          <rPr>
            <b/>
            <sz val="8"/>
            <rFont val="Tahoma"/>
            <family val="2"/>
          </rPr>
          <t>39,47</t>
        </r>
        <r>
          <rPr>
            <sz val="8"/>
            <rFont val="Tahoma"/>
            <family val="2"/>
          </rPr>
          <t>%
=(ЧИСЛКОМБ(2;2)*(ЧИСЛКОМБ(3;1)*ЧИСЛКОМБ(15;7)+ЧИСЛКОМБ(3;2)*ЧИСЛКОМБ(15;6))+ЧИСЛКОМБ(2;1)*ЧИСЛКОМБ(3;2)*ЧИСЛКОМБ(15;7))/ЧИСЛКОМБ(20;10)*100</t>
        </r>
      </text>
    </comment>
    <comment ref="F70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810В&lt;---&gt;ТК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ТК+8(10)(В)---&gt;2 карты
ТК+2 карты---&gt;8(10)(В)
Т(К)+2 карты---&gt;8(10)(В)+К(Т)
Вероятность этих раскладов </t>
        </r>
        <r>
          <rPr>
            <b/>
            <sz val="8"/>
            <rFont val="Tahoma"/>
            <family val="2"/>
          </rPr>
          <t>39,47</t>
        </r>
        <r>
          <rPr>
            <sz val="8"/>
            <rFont val="Tahoma"/>
            <family val="2"/>
          </rPr>
          <t>%
=(ЧИСЛКОМБ(2;2)*(ЧИСЛКОМБ(3;1)*ЧИСЛКОМБ(15;7)+ЧИСЛКОМБ(3;2)*ЧИСЛКОМБ(15;6))+ЧИСЛКОМБ(2;1)*ЧИСЛКОМБ(3;2)*ЧИСЛКОМБ(15;7))/ЧИСЛКОМБ(20;10)*100</t>
        </r>
      </text>
    </comment>
    <comment ref="I68" authorId="0">
      <text>
        <r>
          <rPr>
            <b/>
            <sz val="8"/>
            <color indexed="10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аналогичного столбца с данными из книги Тарнавский К. "Преферанс (Учебное пособие)", Глава "Как производить снос на мизере", стр. 66 -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2"/>
          </rPr>
          <t>. (Данные по 12 дыркам, из 14 значений 1 ошибочно).</t>
        </r>
        <r>
          <rPr>
            <sz val="8"/>
            <rFont val="Tahoma"/>
            <family val="0"/>
          </rPr>
          <t xml:space="preserve">
</t>
        </r>
      </text>
    </comment>
    <comment ref="F68" authorId="0">
      <text>
        <r>
          <rPr>
            <b/>
            <sz val="8"/>
            <color indexed="10"/>
            <rFont val="Tahoma"/>
            <family val="2"/>
          </rPr>
          <t>№</t>
        </r>
        <r>
          <rPr>
            <sz val="8"/>
            <rFont val="Tahoma"/>
            <family val="2"/>
          </rPr>
          <t xml:space="preserve"> аналогичного столбца с данными из книги Тарнавский К. "Преферанс (Учебное пособие)", Глава "Как производить снос на мизере", стр. 66 -</t>
        </r>
        <r>
          <rPr>
            <b/>
            <sz val="8"/>
            <color indexed="10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. (Данные по 12 дыркам, из 14 значений 6 ошибочных).
</t>
        </r>
        <r>
          <rPr>
            <u val="single"/>
            <sz val="8"/>
            <rFont val="Tahoma"/>
            <family val="2"/>
          </rPr>
          <t>Автор неявно предлагает читателю самому добавить к числу указанному в этом столбце значение, указанное во 2-м, 3-м и 4-м столбцах, чтобы получить итоговое значение !</t>
        </r>
        <r>
          <rPr>
            <sz val="8"/>
            <rFont val="Tahoma"/>
            <family val="0"/>
          </rPr>
          <t xml:space="preserve">
</t>
        </r>
      </text>
    </comment>
    <comment ref="L2" authorId="0">
      <text>
        <r>
          <rPr>
            <sz val="8"/>
            <rFont val="Tahoma"/>
            <family val="2"/>
          </rPr>
          <t>В одной из последних редакций этой таблицы количество ошибок уменьшилось до 5</t>
        </r>
        <r>
          <rPr>
            <sz val="8"/>
            <rFont val="Tahoma"/>
            <family val="0"/>
          </rPr>
          <t xml:space="preserve">
</t>
        </r>
      </text>
    </comment>
    <comment ref="G61" authorId="0">
      <text>
        <r>
          <rPr>
            <sz val="8"/>
            <rFont val="Tahoma"/>
            <family val="2"/>
          </rPr>
          <t xml:space="preserve">В дополнение к колонке 0-1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789+2 карты&lt;---&gt;1 карта
</t>
        </r>
      </text>
    </comment>
    <comment ref="H61" authorId="0">
      <text>
        <r>
          <rPr>
            <sz val="8"/>
            <rFont val="Tahoma"/>
            <family val="2"/>
          </rPr>
          <t xml:space="preserve">В дополнение к колонке 1-1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789+1 карта&lt;---&gt;2 карты
</t>
        </r>
      </text>
    </comment>
    <comment ref="G34" authorId="0">
      <text>
        <r>
          <rPr>
            <sz val="8"/>
            <rFont val="Tahoma"/>
            <family val="2"/>
          </rPr>
          <t xml:space="preserve">В дополнение к колонке 0-1 
за вычетом расклада у вистующих, при котором они ловят дырку:
789+2 карты&lt;---&gt;1 карта
</t>
        </r>
      </text>
    </comment>
    <comment ref="H34" authorId="0">
      <text>
        <r>
          <rPr>
            <sz val="8"/>
            <rFont val="Tahoma"/>
            <family val="2"/>
          </rPr>
          <t xml:space="preserve">В дополнение к колонке 1-1 
за вычетом расклада у вистующих, при котором они </t>
        </r>
        <r>
          <rPr>
            <sz val="8"/>
            <rFont val="Tahoma"/>
            <family val="2"/>
          </rPr>
          <t xml:space="preserve">ловят дырку:
789+1 карта&lt;---&gt;2 карты
</t>
        </r>
      </text>
    </comment>
    <comment ref="K34" authorId="0">
      <text>
        <r>
          <rPr>
            <sz val="8"/>
            <rFont val="Tahoma"/>
            <family val="2"/>
          </rPr>
          <t xml:space="preserve">В дополнение к колонке 2-1 за вычетом расклада у вистующих, при котором они </t>
        </r>
        <r>
          <rPr>
            <sz val="8"/>
            <rFont val="Tahoma"/>
            <family val="2"/>
          </rPr>
          <t>ловят дырку:
789&lt;---&gt;2 карты</t>
        </r>
      </text>
    </comment>
    <comment ref="I61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5 карт&lt;---&gt;0</t>
        </r>
      </text>
    </comment>
    <comment ref="J61" authorId="0">
      <text>
        <r>
          <rPr>
            <sz val="8"/>
            <rFont val="Tahoma"/>
            <family val="2"/>
          </rPr>
          <t>В дополнение к колонке 2-0 
за вычетом расклада у вистующих, при котором они ловят дырку:
789+1 карта&lt;---&gt;1 карта</t>
        </r>
      </text>
    </comment>
    <comment ref="K61" authorId="0">
      <text>
        <r>
          <rPr>
            <sz val="8"/>
            <rFont val="Tahoma"/>
            <family val="2"/>
          </rPr>
          <t xml:space="preserve">В дополнение к колонке 2-1 за вычетом расклада у вистующих, при котором они </t>
        </r>
        <r>
          <rPr>
            <sz val="8"/>
            <rFont val="Tahoma"/>
            <family val="2"/>
          </rPr>
          <t>ловят дырку:
789&lt;---&gt;2 карты</t>
        </r>
      </text>
    </comment>
    <comment ref="C28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7910 + 1 карта&lt;---&gt;2 карты
7(9)(10) + 1 карта---&gt;4 карты
7(9)(10) + 2 карты---&gt;3 карты
7(9)(10) + ТКД---&gt;2 карты</t>
        </r>
      </text>
    </comment>
    <comment ref="D28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7(9)(10) + 2 карты---&gt;3 карты
9(10) + ТКД---&gt;7+10(9)
</t>
        </r>
      </text>
    </comment>
    <comment ref="E28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ТКД---&gt;7+10(9)
</t>
        </r>
      </text>
    </comment>
    <comment ref="C8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7910 + 1 карта&lt;---&gt;2 карты
7(9)(10) + 1 карта---&gt;4 карты
7(9)(10) + 2 карты---&gt;3 карты
7(9)(10) + ТКД---&gt;2 карты</t>
        </r>
      </text>
    </comment>
    <comment ref="D8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7(9)(10) + 2 карты---&gt;3 карты
9(10) + ТКД---&gt;7+10(9)
</t>
        </r>
      </text>
    </comment>
    <comment ref="E8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ТКД---&gt;7+10(9)
</t>
        </r>
      </text>
    </comment>
  </commentList>
</comments>
</file>

<file path=xl/comments2.xml><?xml version="1.0" encoding="utf-8"?>
<comments xmlns="http://schemas.openxmlformats.org/spreadsheetml/2006/main">
  <authors>
    <author>Gena</author>
  </authors>
  <commentList>
    <comment ref="C12" authorId="0">
      <text>
        <r>
          <rPr>
            <sz val="8"/>
            <rFont val="Tahoma"/>
            <family val="2"/>
          </rPr>
          <t>Структура расклада у вистующих:
7 карт&lt;---&gt;0</t>
        </r>
        <r>
          <rPr>
            <sz val="8"/>
            <rFont val="Tahoma"/>
            <family val="0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>Структура расклада у вистующих:
6 карт&lt;---&gt;0
8(9)---&gt;9(8)+4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C18" authorId="0">
      <text>
        <r>
          <rPr>
            <sz val="8"/>
            <rFont val="Tahoma"/>
            <family val="2"/>
          </rPr>
          <t>Структура расклада у вистующих:
5 карт&lt;---&gt;0
8(10)(В)---&gt;4 карты
хх---&gt;8(10)(В)КТ</t>
        </r>
      </text>
    </comment>
    <comment ref="C19" authorId="0">
      <text>
        <r>
          <rPr>
            <sz val="8"/>
            <rFont val="Tahoma"/>
            <family val="2"/>
          </rPr>
          <t xml:space="preserve">Структура расклада у вистующих:
4 карты&lt;---&gt;0
8(10)(В)---&gt;3 карты
</t>
        </r>
      </text>
    </comment>
    <comment ref="C15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</t>
        </r>
      </text>
    </comment>
    <comment ref="C16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
7---&gt;5 карт</t>
        </r>
      </text>
    </comment>
    <comment ref="C29" authorId="0">
      <text>
        <r>
          <rPr>
            <sz val="8"/>
            <rFont val="Tahoma"/>
            <family val="2"/>
          </rPr>
          <t>Структура расклада у вистующих:
7 карт&lt;---&gt;0
7(8)&lt;---&gt;8(7)</t>
        </r>
      </text>
    </comment>
    <comment ref="C2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8910 + 2 карты&lt;---&gt;1 карта
8(9)(10) + 1 карта---&gt;4 карты
8(9)(10) + 2 карты---&gt;3 карты
8(9)(10) + 3 карты---&gt;2 карты</t>
        </r>
      </text>
    </comment>
    <comment ref="C21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8(9)---&gt;9(8)+3 карты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C31" authorId="0">
      <text>
        <r>
          <rPr>
            <sz val="8"/>
            <rFont val="Tahoma"/>
            <family val="2"/>
          </rPr>
          <t>Структура расклада у вистующих:
5 карт&lt;---&gt;0
8(10)(В)(Д)&lt;---&gt;4 карты
2 карты---&gt;2 карты +Т
3 карты---&gt;1 карта +Т</t>
        </r>
      </text>
    </comment>
    <comment ref="F9" authorId="0">
      <text>
        <r>
          <rPr>
            <sz val="8"/>
            <rFont val="Tahoma"/>
            <family val="2"/>
          </rPr>
          <t>Проносы осуществляются на "нужной" руке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sz val="8"/>
            <rFont val="Tahoma"/>
            <family val="2"/>
          </rPr>
          <t>Структура расклада у вистующих:
6 карт&lt;---&gt;0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sz val="8"/>
            <rFont val="Tahoma"/>
            <family val="2"/>
          </rPr>
          <t>Структура расклада у вистующих:
5 карт&lt;---&gt;0
8(9)---&gt;9(8)+3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8"/>
            <rFont val="Tahoma"/>
            <family val="2"/>
          </rPr>
          <t xml:space="preserve">Снесен Т или К
Структура расклада у вистующих:
4 карты&lt;---&gt;0
8(10)(В)---&gt;3 карты
</t>
        </r>
      </text>
    </comment>
    <comment ref="D19" authorId="0">
      <text>
        <r>
          <rPr>
            <sz val="8"/>
            <rFont val="Tahoma"/>
            <family val="2"/>
          </rPr>
          <t xml:space="preserve">Снесен Т (К)
Структура расклада у вистующих:
810В&lt;---&gt;0
</t>
        </r>
      </text>
    </comment>
    <comment ref="D15" authorId="0">
      <text>
        <r>
          <rPr>
            <sz val="8"/>
            <rFont val="Tahoma"/>
            <family val="2"/>
          </rPr>
          <t xml:space="preserve">Структура расклада у вистующих:
5 карт&lt;---&gt;0
7+3 карты&lt;---&gt;1 карта
</t>
        </r>
      </text>
    </comment>
    <comment ref="D16" authorId="0">
      <text>
        <r>
          <rPr>
            <sz val="8"/>
            <rFont val="Tahoma"/>
            <family val="2"/>
          </rPr>
          <t>Структура расклада у вистующих:
5 карт&lt;---&gt;0
7+3 карты&lt;---&gt;1 карта
7---&gt;4 карты</t>
        </r>
      </text>
    </comment>
    <comment ref="D29" authorId="0">
      <text>
        <r>
          <rPr>
            <sz val="8"/>
            <rFont val="Tahoma"/>
            <family val="2"/>
          </rPr>
          <t>Структура расклада у вистующих:
6 карт&lt;---&gt;0
7(8)&lt;---&gt;8(7)</t>
        </r>
      </text>
    </comment>
    <comment ref="D30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D2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8910 + 1 карта&lt;---&gt;1 карта
8(9)(10) + 1 карта---&gt;3 карты
8(9)(10) + 2 карты---&gt;2 карты
</t>
        </r>
      </text>
    </comment>
    <comment ref="D21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31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E12" authorId="0">
      <text>
        <r>
          <rPr>
            <sz val="8"/>
            <rFont val="Tahoma"/>
            <family val="2"/>
          </rPr>
          <t>Структура расклада у вистующих:
5 карт&lt;---&gt;0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sz val="8"/>
            <rFont val="Tahoma"/>
            <family val="2"/>
          </rPr>
          <t>Структура расклада у вистующих:
4 карты&lt;---&gt;0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E15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</t>
        </r>
      </text>
    </comment>
    <comment ref="E16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
7---&gt;3 карты</t>
        </r>
      </text>
    </comment>
    <comment ref="E29" authorId="0">
      <text>
        <r>
          <rPr>
            <sz val="8"/>
            <rFont val="Tahoma"/>
            <family val="2"/>
          </rPr>
          <t>Структура расклада у вистующих:
5 карт&lt;---&gt;0
7(8)&lt;---&gt;8(7)</t>
        </r>
      </text>
    </comment>
    <comment ref="E20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8910&lt;---&gt;1 карта
8(9)(10) + 1 карта---&gt;2 карты
</t>
        </r>
      </text>
    </comment>
    <comment ref="E21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7+5 карт&lt;---&gt;1 карта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89+3 карты&lt;---&gt;1 карта
8(9)+1 карта---&gt;9(8)+3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 +1 карта&lt;---&gt;1 карта
8(10)(В)х---&gt;3 карты
</t>
        </r>
      </text>
    </comment>
    <comment ref="F15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</t>
        </r>
      </text>
    </comment>
    <comment ref="F16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
7+1 карта---&gt;9+3 карты</t>
        </r>
      </text>
    </comment>
    <comment ref="F29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78+4 карты&lt;---&gt;1 карта
</t>
        </r>
      </text>
    </comment>
    <comment ref="F21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7+4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89+2 карты&lt;---&gt;2 карты
8(9)+2 карты---&gt;9(8)+2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sz val="8"/>
            <rFont val="Tahoma"/>
            <family val="2"/>
          </rPr>
          <t xml:space="preserve">В дополнение к колонке 0-1
надо добавить 2 расклада, при которых дырка ловится (с учетом 2-х проносов):
8910 + 1 карта&lt;---&gt;2 карты
8(9)(10) + 2 карты---&gt;3 карты
---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в.у. раскладах:
8910&lt;---&gt;3 карты
8(9)(10) + 3 карты---&gt;2 карты
Вероятность этих раскладов 8,59%
=(2*ЧИСЛКОМБ(3;3)*ЧИСЛКОМБ(3;0)*ЧИСЛКОМБ(14;7)+ЧИСЛКОМБ(3;1)*ЧИСЛКОМБ(3;3)*ЧИСЛКОМБ(14;6))/ЧИСЛКОМБ(20;10)*100</t>
        </r>
      </text>
    </comment>
    <comment ref="G21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89&lt;---&gt;ТКД
ТКД9(8)---&gt;8(9)
Вероятность этих раскладов 12,38%
=(2*ЧИСЛКОМБ(2;2)*ЧИСЛКОМБ(3;0)*ЧИСЛКОМБ(15;8)+ЧИСЛКОМБ(3;3)*ЧИСЛКОМБ(2;1)*ЧИСЛКОМБ(15;6))/ЧИСЛКОМБ(20;10)*100</t>
        </r>
      </text>
    </comment>
    <comment ref="H12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7+4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89+2 карты&lt;---&gt;1 карта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H19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H15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7+2 карты&lt;---&gt;2 карты
</t>
        </r>
      </text>
    </comment>
    <comment ref="H16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7+2 карты&lt;---&gt;2 карты
7+1 карта---&gt;9+2 карты</t>
        </r>
      </text>
    </comment>
    <comment ref="H29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78+3 карты&lt;---&gt;1 карта
</t>
        </r>
      </text>
    </comment>
    <comment ref="H30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H21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I12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7+3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89+1 карта&lt;---&gt;2 карты
8(9)+2 карты---&gt;9(8)+1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19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I29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78+2 карты&lt;---&gt;2 карты
</t>
        </r>
      </text>
    </comment>
    <comment ref="I30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I31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J12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7+ 3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J13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89+ 1 карта&lt;---&gt;1 карта
8(9)+ 1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15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J18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J29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78+ 2 карты&lt;---&gt;1 карта
</t>
        </r>
      </text>
    </comment>
    <comment ref="J20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J16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K12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7+ 2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89&lt;---&gt;2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9(8)+ 2 карты---&gt;8(9)
Вероятность этих раскладов 12,38%
=ЧИСЛКОМБ(2;2)*ЧИСЛКОМБ(2;1)*ЧИСЛКОМБ(16;7)/ЧИСЛКОМБ(20;10)*100</t>
        </r>
      </text>
    </comment>
    <comment ref="K18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K29" authorId="0">
      <text>
        <r>
          <rPr>
            <sz val="8"/>
            <rFont val="Tahoma"/>
            <family val="2"/>
          </rPr>
          <t xml:space="preserve">В дополнение к колонке 2-1
Структура расклада у вистующих:
78+ 1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следующих раскладах:
78&lt;---&gt;3 карты
Вероятность этих раскладов 6,19%
=2*ЧИСЛКОМБ(2;2)*ЧИСЛКОМБ(3;0)*ЧИСЛКОМБ(15;8)/ЧИСЛКОМБ(20;10)*100</t>
        </r>
      </text>
    </comment>
    <comment ref="K20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K15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K16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C34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789ВДКТ&lt;---&gt;0</t>
        </r>
      </text>
    </comment>
    <comment ref="D34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6 карт&lt;---&gt;0</t>
        </r>
      </text>
    </comment>
    <comment ref="E34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5 карт&lt;---&gt;0</t>
        </r>
      </text>
    </comment>
    <comment ref="F34" authorId="0">
      <text>
        <r>
          <rPr>
            <sz val="8"/>
            <rFont val="Tahoma"/>
            <family val="2"/>
          </rPr>
          <t>В дополнение к колонке 0-0 надо добавить расклад, при котором вистующие</t>
        </r>
        <r>
          <rPr>
            <sz val="8"/>
            <rFont val="Tahoma"/>
            <family val="2"/>
          </rPr>
          <t xml:space="preserve"> ловят дырку:
789+3 карты&lt;---&gt;1 карта
</t>
        </r>
      </text>
    </comment>
    <comment ref="G34" authorId="0">
      <text>
        <r>
          <rPr>
            <sz val="8"/>
            <rFont val="Tahoma"/>
            <family val="2"/>
          </rPr>
          <t xml:space="preserve">В дополнение к колонке 0-1 надо добавить расклад, при котором вистующие ловят дырку:
789+2 карты&lt;---&gt;2 карты
</t>
        </r>
      </text>
    </comment>
    <comment ref="C22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sz val="8"/>
            <rFont val="Tahoma"/>
            <family val="2"/>
          </rPr>
          <t>Снесен Т или К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22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22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K22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24" authorId="0">
      <text>
        <r>
          <rPr>
            <sz val="8"/>
            <rFont val="Tahoma"/>
            <family val="2"/>
          </rPr>
          <t>Структура расклада у вистующих:
3 карты&lt;---&gt;0
8(9)---&gt;9(8)+Т</t>
        </r>
        <r>
          <rPr>
            <b/>
            <sz val="8"/>
            <rFont val="Tahoma"/>
            <family val="0"/>
          </rPr>
          <t xml:space="preserve">
</t>
        </r>
      </text>
    </comment>
    <comment ref="D24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I24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зависит.Структура расклада у вистующих:
810В&lt;---&gt;0
</t>
        </r>
      </text>
    </comment>
    <comment ref="C3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8910В +  К(Т)&lt;---&gt;Т(К)
8(9)(10)(В) + К(Т)---&gt;3 карты + Т(К)
8(9)(10)(В) + ТК---&gt;3 карты
</t>
        </r>
      </text>
    </comment>
    <comment ref="D32" authorId="0">
      <text>
        <r>
          <rPr>
            <sz val="8"/>
            <rFont val="Tahoma"/>
            <family val="2"/>
          </rPr>
          <t xml:space="preserve">Снесен Т или К (пусть Т для определенности)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8910В&lt;---&gt;К
8(9)(10)(В) + К---&gt;3 карты 
</t>
        </r>
      </text>
    </comment>
    <comment ref="E32" authorId="0">
      <text>
        <r>
          <rPr>
            <sz val="8"/>
            <rFont val="Tahoma"/>
            <family val="2"/>
          </rPr>
          <t xml:space="preserve">Снесены ТК
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F3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8(9)(10)(В) + ТК---&gt;3 карты
</t>
        </r>
      </text>
    </comment>
    <comment ref="G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H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I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J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32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D28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7910&lt;---&gt;2 карты
7(9)(10) + 1 карта---&gt;3 карты
7(9)(10) + 2 карты---&gt;2 карты
</t>
        </r>
      </text>
    </comment>
    <comment ref="E28" authorId="0">
      <text>
        <r>
          <rPr>
            <sz val="8"/>
            <rFont val="Tahoma"/>
            <family val="2"/>
          </rPr>
          <t xml:space="preserve">Снесены ТК (ТД) или (КД)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7(9)(10) + 1 карта---&gt;2 карты
</t>
        </r>
      </text>
    </comment>
    <comment ref="H28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+ 2 карты---&gt;7+10(9)</t>
        </r>
      </text>
    </comment>
    <comment ref="I28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J28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28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E27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H27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F20" authorId="0">
      <text>
        <r>
          <rPr>
            <sz val="8"/>
            <rFont val="Tahoma"/>
            <family val="2"/>
          </rPr>
          <t xml:space="preserve">В дополнение к колонке 0-0
надо добавить 2 расклада, при которых дырка ловится (с учетом 1-го проноса):
8910 + 2 карты&lt;---&gt;1 карта
8(9)(10) + 1 карта---&gt;4 карты
---
При этом, 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8(9)(10) + 2 карты---&gt;3 карты
8(9)(10) + 3 карты---&gt;2 карты</t>
        </r>
      </text>
    </comment>
    <comment ref="C27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8(9)---&gt;9(8)+ВТК
8(9)+1 карта---&gt;9(8)+2 карты
89---&gt;ВКТ</t>
        </r>
        <r>
          <rPr>
            <b/>
            <sz val="8"/>
            <rFont val="Tahoma"/>
            <family val="0"/>
          </rPr>
          <t xml:space="preserve">
</t>
        </r>
      </text>
    </comment>
    <comment ref="F27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G27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ТКВ---&gt;89
ТКВ9(8)---&gt;8(9)
Вероятность этих раскладов 8,90%
=(ЧИСЛКОМБ(2;2)*ЧИСЛКОМБ(3;0)*ЧИСЛКОМБ(15;8)+ЧИСЛКОМБ(3;3)*ЧИСЛКОМБ(2;1)*ЧИСЛКОМБ(15;6))/ЧИСЛКОМБ(20;10)*100</t>
        </r>
      </text>
    </comment>
    <comment ref="F6" authorId="0">
      <text>
        <r>
          <rPr>
            <sz val="8"/>
            <rFont val="Tahoma"/>
            <family val="2"/>
          </rPr>
          <t>Автор неявно предлагает читателю самому добавить к числу указанному в этом столбце значение, указанное во 2-м столбце, чтобы получить итоговое значение !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sz val="8"/>
            <rFont val="Tahoma"/>
            <family val="2"/>
          </rPr>
          <t>Автор неявно предлагает читателю самому добавить к числу указанному в этом столбце значение, указанное во 2-м  и 3-м столбцах, чтобы получить итоговое значение !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sz val="8"/>
            <rFont val="Tahoma"/>
            <family val="2"/>
          </rPr>
          <t>В тексте на стр. 64 дается значение лишь для дырки "8" (0,033)</t>
        </r>
        <r>
          <rPr>
            <sz val="8"/>
            <rFont val="Tahoma"/>
            <family val="0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>В таблице на стр.66 дается значение только для дырки 710 в строке №2 и в столбце №2 (и еще в тексте на стр. 65 для дырки 89)</t>
        </r>
      </text>
    </comment>
    <comment ref="D5" authorId="0">
      <text>
        <r>
          <rPr>
            <sz val="8"/>
            <rFont val="Tahoma"/>
            <family val="2"/>
          </rPr>
          <t xml:space="preserve">На стр. 425-427 приводится пример расчета вероятности ловли дырки </t>
        </r>
        <r>
          <rPr>
            <b/>
            <sz val="8"/>
            <rFont val="Tahoma"/>
            <family val="2"/>
          </rPr>
          <t>7В</t>
        </r>
        <r>
          <rPr>
            <sz val="8"/>
            <rFont val="Tahoma"/>
            <family val="2"/>
          </rPr>
          <t xml:space="preserve"> с учетом проносов для конкретного расклада:
</t>
        </r>
        <r>
          <rPr>
            <b/>
            <sz val="8"/>
            <rFont val="Tahoma"/>
            <family val="2"/>
          </rPr>
          <t>ДВ10987_87(ТК)_В7_---</t>
        </r>
        <r>
          <rPr>
            <sz val="8"/>
            <rFont val="Tahoma"/>
            <family val="0"/>
          </rPr>
          <t xml:space="preserve">
Получено значение вероятности ловли - </t>
        </r>
        <r>
          <rPr>
            <b/>
            <sz val="8"/>
            <rFont val="Tahoma"/>
            <family val="2"/>
          </rPr>
          <t>56,6 %</t>
        </r>
      </text>
    </comment>
    <comment ref="H6" authorId="0">
      <text>
        <r>
          <rPr>
            <sz val="8"/>
            <rFont val="Tahoma"/>
            <family val="2"/>
          </rPr>
          <t>В таблице на стр.66 дается значение только для дырки 710 в строке №2 и в столбце №3</t>
        </r>
      </text>
    </comment>
    <comment ref="I6" authorId="0">
      <text>
        <r>
          <rPr>
            <sz val="8"/>
            <rFont val="Tahoma"/>
            <family val="2"/>
          </rPr>
          <t>В таблице на стр.66 дается значение только для дырки 710 в строке №2 и в столбце №4</t>
        </r>
      </text>
    </comment>
    <comment ref="J21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21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26" authorId="0">
      <text>
        <r>
          <rPr>
            <sz val="8"/>
            <rFont val="Tahoma"/>
            <family val="2"/>
          </rPr>
          <t>Структура расклада у вистующих:
3 карты&lt;---&gt;0
8(9)---&gt;9(8)+В</t>
        </r>
        <r>
          <rPr>
            <b/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sz val="8"/>
            <rFont val="Tahoma"/>
            <family val="2"/>
          </rPr>
          <t>Снесен Т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J27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27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33" authorId="0">
      <text>
        <r>
          <rPr>
            <sz val="8"/>
            <rFont val="Tahoma"/>
            <family val="2"/>
          </rPr>
          <t>Структура расклада у вистующих:
5 карт&lt;---&gt;0
4 карты&lt;---&gt;1 карта
2 карты---&gt;2 карты + Т
9(8)+ВД&lt;---&gt;8(9)+Т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89+В(Д)---&gt;Д(В)+Т</t>
        </r>
      </text>
    </comment>
    <comment ref="F33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В(Д)+Т---&gt;89+Д(В)
Т89---&gt;ДВ
</t>
        </r>
        <r>
          <rPr>
            <b/>
            <sz val="8"/>
            <rFont val="Tahoma"/>
            <family val="0"/>
          </rPr>
          <t xml:space="preserve">
</t>
        </r>
      </text>
    </comment>
    <comment ref="G33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Т+8(9)В(Д)---&gt;9(8)+Д(В)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ТДВ---&gt;89
Вероятность этих раскладов 3,48%
=ЧИСЛКОМБ(3;3)*ЧИСЛКОМБ(2;0)*ЧИСЛКОМБ(15;7)/ЧИСЛКОМБ(20;10)*100</t>
        </r>
      </text>
    </comment>
    <comment ref="D33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3 карты&lt;---&gt;1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H33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33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sz val="8"/>
            <rFont val="Tahoma"/>
            <family val="2"/>
          </rPr>
          <t>Проносы осуществляются на "нужной" руке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sz val="8"/>
            <rFont val="Tahoma"/>
            <family val="2"/>
          </rPr>
          <t>Структура расклада у вистующих:
7 карт&lt;---&gt;0</t>
        </r>
        <r>
          <rPr>
            <sz val="8"/>
            <rFont val="Tahoma"/>
            <family val="0"/>
          </rPr>
          <t xml:space="preserve">
</t>
        </r>
      </text>
    </comment>
    <comment ref="D41" authorId="0">
      <text>
        <r>
          <rPr>
            <sz val="8"/>
            <rFont val="Tahoma"/>
            <family val="2"/>
          </rPr>
          <t>Структура расклада у вистующих:
6 карт&lt;---&gt;0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sz val="8"/>
            <rFont val="Tahoma"/>
            <family val="2"/>
          </rPr>
          <t>Структура расклада у вистующих:
5 карт&lt;---&gt;0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7+5 карт&lt;---&gt;1 карта</t>
        </r>
        <r>
          <rPr>
            <sz val="8"/>
            <rFont val="Tahoma"/>
            <family val="0"/>
          </rPr>
          <t xml:space="preserve">
</t>
        </r>
      </text>
    </comment>
    <comment ref="G41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7+4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H41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7+4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I41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7+3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7+ 3 карты&lt;---&gt;1 карта</t>
        </r>
        <r>
          <rPr>
            <sz val="8"/>
            <rFont val="Tahoma"/>
            <family val="0"/>
          </rPr>
          <t xml:space="preserve">
</t>
        </r>
      </text>
    </comment>
    <comment ref="K41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7+ 2 карты&lt;---&gt;2 карты</t>
        </r>
        <r>
          <rPr>
            <sz val="8"/>
            <rFont val="Tahoma"/>
            <family val="0"/>
          </rPr>
          <t xml:space="preserve">
</t>
        </r>
      </text>
    </comment>
    <comment ref="C44" authorId="0">
      <text>
        <r>
          <rPr>
            <sz val="8"/>
            <rFont val="Tahoma"/>
            <family val="2"/>
          </rPr>
          <t>Структура расклада у вистующих:
6 карт&lt;---&gt;0
8(9)---&gt;9(8)+4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44" authorId="0">
      <text>
        <r>
          <rPr>
            <sz val="8"/>
            <rFont val="Tahoma"/>
            <family val="2"/>
          </rPr>
          <t>Структура расклада у вистующих:
5 карт&lt;---&gt;0
8(9)---&gt;9(8)+3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44" authorId="0">
      <text>
        <r>
          <rPr>
            <sz val="8"/>
            <rFont val="Tahoma"/>
            <family val="2"/>
          </rPr>
          <t>Структура расклада у вистующих:
4 карты&lt;---&gt;0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F44" authorId="0">
      <text>
        <r>
          <rPr>
            <sz val="8"/>
            <rFont val="Tahoma"/>
            <family val="2"/>
          </rPr>
          <t>В добавление к колонке 0-0
Структура расклада у вистующих:
89+3 карты&lt;---&gt;1 карта
8(9)+1 карта---&gt;9(8)+3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G44" authorId="0">
      <text>
        <r>
          <rPr>
            <sz val="8"/>
            <rFont val="Tahoma"/>
            <family val="2"/>
          </rPr>
          <t>В добавление к колонке 0-1
Структура расклада у вистующих:
89+2 карты&lt;---&gt;2 карты
8(9)+2 карты---&gt;9(8)+2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sz val="8"/>
            <rFont val="Tahoma"/>
            <family val="2"/>
          </rPr>
          <t>В добавление к колонке 1-0
Структура расклада у вистующих:
89+2 карты&lt;---&gt;1 карта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I44" authorId="0">
      <text>
        <r>
          <rPr>
            <sz val="8"/>
            <rFont val="Tahoma"/>
            <family val="2"/>
          </rPr>
          <t>В добавление к колонке 1-1
Структура расклада у вистующих:
89+1 карта&lt;---&gt;2 карты
8(9)+2 карты---&gt;9(8)+1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44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89+ 1 карта&lt;---&gt;1 карта
8(9)+ 1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44" authorId="0">
      <text>
        <r>
          <rPr>
            <sz val="8"/>
            <rFont val="Tahoma"/>
            <family val="2"/>
          </rPr>
          <t>В дополнение к колонке 2-1
Структура расклада у вистующих:
89&lt;---&gt;2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9(8)+ 2 карты---&gt;8(9)
Вероятность этих раскладов 12,38%
=ЧИСЛКОМБ(2;2)*ЧИСЛКОМБ(2;1)*ЧИСЛКОМБ(16;7)/ЧИСЛКОМБ(20;10)*100</t>
        </r>
      </text>
    </comment>
    <comment ref="C46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</t>
        </r>
      </text>
    </comment>
    <comment ref="D46" authorId="0">
      <text>
        <r>
          <rPr>
            <sz val="8"/>
            <rFont val="Tahoma"/>
            <family val="2"/>
          </rPr>
          <t xml:space="preserve">Структура расклада у вистующих:
5 карт&lt;---&gt;0
7+3 карты&lt;---&gt;1 карта
</t>
        </r>
      </text>
    </comment>
    <comment ref="E46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</t>
        </r>
      </text>
    </comment>
    <comment ref="F46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</t>
        </r>
      </text>
    </comment>
    <comment ref="H46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7+2 карты&lt;---&gt;2 карты
</t>
        </r>
      </text>
    </comment>
    <comment ref="J46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K46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7&lt;---&gt;3 карты
Вероятность этих раскладов 12,38%
=2*ЧИСЛКОМБ(1;1)*ЧИСЛКОМБ(3;0)*ЧИСЛКОМБ(16;9)/ЧИСЛКОМБ(20;10)*100</t>
        </r>
      </text>
    </comment>
    <comment ref="C48" authorId="0">
      <text>
        <r>
          <rPr>
            <sz val="8"/>
            <rFont val="Tahoma"/>
            <family val="2"/>
          </rPr>
          <t>Структура расклада у вистующих:
6 карт&lt;---&gt;0
7+4 карты&lt;---&gt;1 карта
7---&gt;5 карт</t>
        </r>
      </text>
    </comment>
    <comment ref="D48" authorId="0">
      <text>
        <r>
          <rPr>
            <sz val="8"/>
            <rFont val="Tahoma"/>
            <family val="2"/>
          </rPr>
          <t>Структура расклада у вистующих:
5 карт&lt;---&gt;0
7+3 карты&lt;---&gt;1 карта
7---&gt;4 карты</t>
        </r>
      </text>
    </comment>
    <comment ref="E48" authorId="0">
      <text>
        <r>
          <rPr>
            <sz val="8"/>
            <rFont val="Tahoma"/>
            <family val="2"/>
          </rPr>
          <t>Структура расклада у вистующих:
4 карты&lt;---&gt;0
7+2 карты&lt;---&gt;1 карта
7---&gt;3 карты</t>
        </r>
      </text>
    </comment>
    <comment ref="F48" authorId="0">
      <text>
        <r>
          <rPr>
            <sz val="8"/>
            <rFont val="Tahoma"/>
            <family val="2"/>
          </rPr>
          <t>В дополнение к колонке 0-0
Структура расклада у вистующих:
7+3 карты&lt;---&gt;2 карты
7+1 карта---&gt;9+3 карты</t>
        </r>
      </text>
    </comment>
    <comment ref="H48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7+2 карты&lt;---&gt;2 карты
7+1 карта---&gt;9+2 карты</t>
        </r>
      </text>
    </comment>
    <comment ref="J48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7+1 карта&lt;---&gt;2 карты
Альтернативный метод подсчета:
Дырка НЕ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K48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7+1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3 карты---&gt;7
Вероятность этих раскладов 6,19%
=ЧИСЛКОМБ(1;1)*ЧИСЛКОМБ(3;0)*ЧИСЛКОМБ(16;9)/ЧИСЛКОМБ(20;10)*100</t>
        </r>
      </text>
    </comment>
    <comment ref="C49" authorId="0">
      <text>
        <r>
          <rPr>
            <sz val="8"/>
            <rFont val="Tahoma"/>
            <family val="2"/>
          </rPr>
          <t>Структура расклада у вистующих:
5 карт&lt;---&gt;0
8(10)(В)---&gt;4 карты
хх---&gt;8(10)(В)КТ</t>
        </r>
      </text>
    </comment>
    <comment ref="D49" authorId="0">
      <text>
        <r>
          <rPr>
            <sz val="8"/>
            <rFont val="Tahoma"/>
            <family val="2"/>
          </rPr>
          <t xml:space="preserve">Снесен Т или К
Структура расклада у вистующих:
4 карты&lt;---&gt;0
8(10)(В)---&gt;3 карты
</t>
        </r>
      </text>
    </comment>
    <comment ref="E49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F49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 +1 карта&lt;---&gt;1 карта
8(10)(В)х---&gt;3 карты
</t>
        </r>
      </text>
    </comment>
    <comment ref="J49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K49" authorId="0">
      <text>
        <r>
          <rPr>
            <sz val="8"/>
            <rFont val="Tahoma"/>
            <family val="2"/>
          </rPr>
          <t xml:space="preserve">Снесены ТК
Структура расклада у вистующих:
810В&lt;---&gt;0
</t>
        </r>
      </text>
    </comment>
    <comment ref="C45" authorId="0">
      <text>
        <r>
          <rPr>
            <sz val="8"/>
            <rFont val="Tahoma"/>
            <family val="2"/>
          </rPr>
          <t xml:space="preserve">Структура расклада у вистующих:
4 карты&lt;---&gt;0
8(10)(В)---&gt;3 карты
</t>
        </r>
      </text>
    </comment>
    <comment ref="D45" authorId="0">
      <text>
        <r>
          <rPr>
            <sz val="8"/>
            <rFont val="Tahoma"/>
            <family val="2"/>
          </rPr>
          <t xml:space="preserve">Снесен Т (К)
Структура расклада у вистующих:
810В&lt;---&gt;0
</t>
        </r>
      </text>
    </comment>
    <comment ref="H45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I45" authorId="0">
      <text>
        <r>
          <rPr>
            <sz val="8"/>
            <rFont val="Tahoma"/>
            <family val="2"/>
          </rPr>
          <t xml:space="preserve">Снесен Т(К)
Структура расклада у вистующих:
810В&lt;---&gt;0
</t>
        </r>
      </text>
    </comment>
    <comment ref="C5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8910 + 2 карты&lt;---&gt;1 карта
8(9)(10) + 1 карта---&gt;4 карты
8(9)(10) + 2 карты---&gt;3 карты
8(9)(10) + 3 карты---&gt;2 карты</t>
        </r>
      </text>
    </comment>
    <comment ref="D5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8910 + 1 карта&lt;---&gt;1 карта
8(9)(10) + 1 карта---&gt;3 карты
8(9)(10) + 2 карты---&gt;2 карты
</t>
        </r>
      </text>
    </comment>
    <comment ref="E52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8910&lt;---&gt;1 карта
8(9)(10) + 1 карта---&gt;2 карты
</t>
        </r>
      </text>
    </comment>
    <comment ref="F52" authorId="0">
      <text>
        <r>
          <rPr>
            <sz val="8"/>
            <rFont val="Tahoma"/>
            <family val="2"/>
          </rPr>
          <t xml:space="preserve">В дополнение к колонке 0-0
надо добавить 2 расклада, при которых дырка ловится (с учетом 1-го проноса):
8910 + 2 карты&lt;---&gt;1 карта
8(9)(10) + 1 карта---&gt;4 карты
---
При этом, 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8910&lt;---&gt;3 карты
8910 + 1 карта&lt;---&gt;2 карты
8(9)(10) + 2 карты---&gt;3 карты
8(9)(10) + 3 карты---&gt;2 карты</t>
        </r>
      </text>
    </comment>
    <comment ref="G52" authorId="0">
      <text>
        <r>
          <rPr>
            <sz val="8"/>
            <rFont val="Tahoma"/>
            <family val="2"/>
          </rPr>
          <t xml:space="preserve">В дополнение к колонке 0-1
надо добавить 2 расклада, при которых дырка ловится (с учетом 2-х проносов):
8910 + 1 карта&lt;---&gt;2 карты
8(9)(10) + 2 карты---&gt;3 карты
---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в.у. раскладах:
8910&lt;---&gt;3 карты
8(9)(10) + 3 карты---&gt;2 карты
Вероятность этих раскладов 8,59%
=(2*ЧИСЛКОМБ(3;3)*ЧИСЛКОМБ(3;0)*ЧИСЛКОМБ(14;7)+ЧИСЛКОМБ(3;1)*ЧИСЛКОМБ(3;3)*ЧИСЛКОМБ(14;6))/ЧИСЛКОМБ(20;10)*100</t>
        </r>
      </text>
    </comment>
    <comment ref="J52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K52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вистующих, при которой они </t>
        </r>
        <r>
          <rPr>
            <sz val="8"/>
            <rFont val="Tahoma"/>
            <family val="2"/>
          </rPr>
          <t xml:space="preserve">ловят эту дырку:
8910&lt;---&gt;1 карта
8(9)(10) + 1 карта---&gt;2 карты
</t>
        </r>
      </text>
    </comment>
    <comment ref="C53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8(9)---&gt;9(8)+3 карты
8(9)+1 карта---&gt;9(8)+2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D53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53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F53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G53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89&lt;---&gt;ТКД
ТКД9(8)---&gt;8(9)
Вероятность этих раскладов 12,38%
=(2*ЧИСЛКОМБ(2;2)*ЧИСЛКОМБ(3;0)*ЧИСЛКОМБ(15;8)+ЧИСЛКОМБ(3;3)*ЧИСЛКОМБ(2;1)*ЧИСЛКОМБ(15;6))/ЧИСЛКОМБ(20;10)*100</t>
        </r>
      </text>
    </comment>
    <comment ref="H53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53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53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C55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D55" authorId="0">
      <text>
        <r>
          <rPr>
            <sz val="8"/>
            <rFont val="Tahoma"/>
            <family val="2"/>
          </rPr>
          <t>Снесен Т или К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E55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F55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H55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55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55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K55" authorId="0">
      <text>
        <r>
          <rPr>
            <sz val="8"/>
            <rFont val="Tahoma"/>
            <family val="2"/>
          </rPr>
          <t xml:space="preserve">Снесены ТК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56" authorId="0">
      <text>
        <r>
          <rPr>
            <sz val="8"/>
            <rFont val="Tahoma"/>
            <family val="2"/>
          </rPr>
          <t xml:space="preserve">Структура расклада у вистующих:
4 карт&lt;---&gt;0
89+1 карта&lt;---&gt;1 карта
8(9)---&gt;9(8)+2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D56" authorId="0">
      <text>
        <r>
          <rPr>
            <sz val="8"/>
            <rFont val="Tahoma"/>
            <family val="2"/>
          </rPr>
          <t>Снесен Т
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F56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8(9)+1 карта---&gt;9(8)+1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H56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I56" authorId="0">
      <text>
        <r>
          <rPr>
            <sz val="8"/>
            <rFont val="Tahoma"/>
            <family val="2"/>
          </rPr>
          <t>Снесен Т
В дополнение к колонке 1-0
Структура расклада у вистующих:
89&lt;---&gt;В</t>
        </r>
        <r>
          <rPr>
            <b/>
            <sz val="8"/>
            <rFont val="Tahoma"/>
            <family val="0"/>
          </rPr>
          <t xml:space="preserve">
</t>
        </r>
      </text>
    </comment>
    <comment ref="C57" authorId="0">
      <text>
        <r>
          <rPr>
            <sz val="8"/>
            <rFont val="Tahoma"/>
            <family val="2"/>
          </rPr>
          <t>Структура расклада у вистующих:
3 карты&lt;---&gt;0
8(9)---&gt;9(8)+Т</t>
        </r>
        <r>
          <rPr>
            <b/>
            <sz val="8"/>
            <rFont val="Tahoma"/>
            <family val="0"/>
          </rPr>
          <t xml:space="preserve">
</t>
        </r>
      </text>
    </comment>
    <comment ref="D57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H57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58" authorId="0">
      <text>
        <r>
          <rPr>
            <sz val="8"/>
            <rFont val="Tahoma"/>
            <family val="2"/>
          </rPr>
          <t>Структура расклада у вистующих:
3 карты&lt;---&gt;0
8(9)---&gt;9(8)+В</t>
        </r>
        <r>
          <rPr>
            <b/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sz val="8"/>
            <rFont val="Tahoma"/>
            <family val="2"/>
          </rPr>
          <t>Структура расклада у вистующих:
5 карт&lt;---&gt;0
89+2 карты&lt;---&gt;1 карта
8(9)---&gt;9(8)+ВТК
8(9)+1 карта---&gt;9(8)+2 карты
89---&gt;ВКТ</t>
        </r>
        <r>
          <rPr>
            <b/>
            <sz val="8"/>
            <rFont val="Tahoma"/>
            <family val="0"/>
          </rPr>
          <t xml:space="preserve">
</t>
        </r>
      </text>
    </comment>
    <comment ref="D54" authorId="0">
      <text>
        <r>
          <rPr>
            <sz val="8"/>
            <rFont val="Tahoma"/>
            <family val="2"/>
          </rPr>
          <t>Структура расклада у вистующих:
4 карты&lt;---&gt;0
89+1 карта&lt;---&gt;1 карта
8(9)---&gt;9(8)+2 карты</t>
        </r>
        <r>
          <rPr>
            <b/>
            <sz val="8"/>
            <rFont val="Tahoma"/>
            <family val="0"/>
          </rPr>
          <t xml:space="preserve">
</t>
        </r>
      </text>
    </comment>
    <comment ref="E54" authorId="0">
      <text>
        <r>
          <rPr>
            <sz val="8"/>
            <rFont val="Tahoma"/>
            <family val="2"/>
          </rPr>
          <t>Структура расклада у вистующих:
3 карты&lt;---&gt;0
8(9)---&gt;9(8)+1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F54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89+1 карта&lt;---&gt;2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G54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8(9)+2 карты---&gt;9(8)+1 карты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ТКВ---&gt;89
ТКВ9(8)---&gt;8(9)
Вероятность этих раскладов 8,90%
=(ЧИСЛКОМБ(2;2)*ЧИСЛКОМБ(3;0)*ЧИСЛКОМБ(15;8)+ЧИСЛКОМБ(3;3)*ЧИСЛКОМБ(2;1)*ЧИСЛКОМБ(15;6))/ЧИСЛКОМБ(20;10)*100</t>
        </r>
      </text>
    </comment>
    <comment ref="H54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J54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K54" authorId="0">
      <text>
        <r>
          <rPr>
            <sz val="8"/>
            <rFont val="Tahoma"/>
            <family val="2"/>
          </rPr>
          <t>В дополнение к колонке 2-0
Структура расклада у вистующих:
89&lt;---&gt;1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D59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7910&lt;---&gt;2 карты
7(9)(10) + 1 карта---&gt;3 карты
7(9)(10) + 2 карты---&gt;2 карты
</t>
        </r>
      </text>
    </comment>
    <comment ref="E59" authorId="0">
      <text>
        <r>
          <rPr>
            <sz val="8"/>
            <rFont val="Tahoma"/>
            <family val="2"/>
          </rPr>
          <t xml:space="preserve">Снесены ТК (ТД) или (КД)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7(9)(10) + 1 карта---&gt;2 карты
</t>
        </r>
      </text>
    </comment>
    <comment ref="H59" authorId="0">
      <text>
        <r>
          <rPr>
            <sz val="8"/>
            <rFont val="Tahoma"/>
            <family val="2"/>
          </rPr>
          <t xml:space="preserve">Снесен Т,К или Д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+ 2 карты---&gt;7+10(9)</t>
        </r>
      </text>
    </comment>
    <comment ref="I59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J59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59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C50" authorId="0">
      <text>
        <r>
          <rPr>
            <sz val="8"/>
            <rFont val="Tahoma"/>
            <family val="2"/>
          </rPr>
          <t>Структура расклада у вистующих:
7 карт&lt;---&gt;0
7(8)&lt;---&gt;8(7)</t>
        </r>
      </text>
    </comment>
    <comment ref="D50" authorId="0">
      <text>
        <r>
          <rPr>
            <sz val="8"/>
            <rFont val="Tahoma"/>
            <family val="2"/>
          </rPr>
          <t>Структура расклада у вистующих:
6 карт&lt;---&gt;0
7(8)&lt;---&gt;8(7)</t>
        </r>
      </text>
    </comment>
    <comment ref="E50" authorId="0">
      <text>
        <r>
          <rPr>
            <sz val="8"/>
            <rFont val="Tahoma"/>
            <family val="2"/>
          </rPr>
          <t>Структура расклада у вистующих:
5 карт&lt;---&gt;0
7(8)&lt;---&gt;8(7)</t>
        </r>
      </text>
    </comment>
    <comment ref="F50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78+4 карты&lt;---&gt;1 карта
</t>
        </r>
      </text>
    </comment>
    <comment ref="H50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78+3 карты&lt;---&gt;1 карта
</t>
        </r>
      </text>
    </comment>
    <comment ref="I50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78+2 карты&lt;---&gt;2 карты
</t>
        </r>
      </text>
    </comment>
    <comment ref="J50" authorId="0">
      <text>
        <r>
          <rPr>
            <sz val="8"/>
            <rFont val="Tahoma"/>
            <family val="2"/>
          </rPr>
          <t xml:space="preserve">В дополнение к колонке 2-0
Структура расклада у вистующих:
78+ 2 карты&lt;---&gt;1 карта
</t>
        </r>
      </text>
    </comment>
    <comment ref="K50" authorId="0">
      <text>
        <r>
          <rPr>
            <sz val="8"/>
            <rFont val="Tahoma"/>
            <family val="2"/>
          </rPr>
          <t xml:space="preserve">В дополнение к колонке 2-1
Структура расклада у вистующих:
78+ 1 карта&lt;---&gt;2 карты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>ловится (при 2-х проносах) при следующих раскладах:
78&lt;---&gt;3 карты
Вероятность этих раскладов 6,19%
=2*ЧИСЛКОМБ(2;2)*ЧИСЛКОМБ(3;0)*ЧИСЛКОМБ(15;8)/ЧИСЛКОМБ(20;10)*100</t>
        </r>
      </text>
    </comment>
    <comment ref="D51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H51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I51" authorId="0">
      <text>
        <r>
          <rPr>
            <sz val="8"/>
            <rFont val="Tahoma"/>
            <family val="2"/>
          </rPr>
          <t xml:space="preserve">Снесена Д
Структура расклада у вистующих:
810В&lt;---&gt;0
</t>
        </r>
      </text>
    </comment>
    <comment ref="C60" authorId="0">
      <text>
        <r>
          <rPr>
            <sz val="8"/>
            <rFont val="Tahoma"/>
            <family val="2"/>
          </rPr>
          <t>Структура расклада у вистующих:
5 карт&lt;---&gt;0
8(10)(В)(Д)&lt;---&gt;4 карты
2 карты---&gt;2 карты +Т
3 карты---&gt;1 карта +Т</t>
        </r>
      </text>
    </comment>
    <comment ref="D60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H60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I60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8(10)(В)(Д)&lt;---&gt;3 карты
</t>
        </r>
      </text>
    </comment>
    <comment ref="C63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8910В +  К(Т)&lt;---&gt;Т(К)
8(9)(10)(В) + К(Т)---&gt;3 карты + Т(К)
8(9)(10)(В) + ТК---&gt;3 карты
</t>
        </r>
      </text>
    </comment>
    <comment ref="D63" authorId="0">
      <text>
        <r>
          <rPr>
            <sz val="8"/>
            <rFont val="Tahoma"/>
            <family val="2"/>
          </rPr>
          <t xml:space="preserve">Снесен Т или К (пусть Т для определенности)
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8910В&lt;---&gt;К
8(9)(10)(В) + К---&gt;3 карты 
</t>
        </r>
      </text>
    </comment>
    <comment ref="E63" authorId="0">
      <text>
        <r>
          <rPr>
            <sz val="8"/>
            <rFont val="Tahoma"/>
            <family val="2"/>
          </rPr>
          <t xml:space="preserve">Снесены ТК
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F63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8910В&lt;---&gt;ТК
8(9)(10)(В) + ТК---&gt;3 карты
</t>
        </r>
      </text>
    </comment>
    <comment ref="G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H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I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J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K63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 отсутствует (все оставшиеся карты у вистующих младше Д)</t>
        </r>
      </text>
    </comment>
    <comment ref="C62" authorId="0">
      <text>
        <r>
          <rPr>
            <sz val="8"/>
            <rFont val="Tahoma"/>
            <family val="2"/>
          </rPr>
          <t>Структура расклада у вистующих:
5 карт&lt;---&gt;0
4 карты&lt;---&gt;1 карта
2 карты---&gt;2 карты + Т
9(8)+ВД&lt;---&gt;8(9)+Т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89+В(Д)---&gt;Д(В)+Т</t>
        </r>
      </text>
    </comment>
    <comment ref="D62" authorId="0">
      <text>
        <r>
          <rPr>
            <sz val="8"/>
            <rFont val="Tahoma"/>
            <family val="2"/>
          </rPr>
          <t xml:space="preserve">Снесен Т
Структура расклада у вистующих:
4 карты&lt;---&gt;0
3 карты&lt;---&gt;1 карта
</t>
        </r>
        <r>
          <rPr>
            <b/>
            <sz val="8"/>
            <rFont val="Tahoma"/>
            <family val="0"/>
          </rPr>
          <t xml:space="preserve">
</t>
        </r>
      </text>
    </comment>
    <comment ref="F62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В(Д)+Т---&gt;89+Д(В)
Т89---&gt;ДВ
</t>
        </r>
        <r>
          <rPr>
            <b/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Т+8(9)В(Д)---&gt;9(8)+Д(В)
Альтернативный метод подсчета:
Дырка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ловится (при 2-х проносах) при следующих раскладах:
ТДВ---&gt;89
Вероятность этих раскладов 3,48%
=ЧИСЛКОМБ(3;3)*ЧИСЛКОМБ(2;0)*ЧИСЛКОМБ(15;7)/ЧИСЛКОМБ(20;10)*100</t>
        </r>
      </text>
    </comment>
    <comment ref="H62" authorId="0">
      <text>
        <r>
          <rPr>
            <sz val="8"/>
            <rFont val="Tahoma"/>
            <family val="2"/>
          </rPr>
          <t>В дополнение к колонке 1-0
Структура расклада у вистующих:
8(9)+1 карта---&gt;9(8)+1 карта</t>
        </r>
        <r>
          <rPr>
            <b/>
            <sz val="8"/>
            <rFont val="Tahoma"/>
            <family val="0"/>
          </rPr>
          <t xml:space="preserve">
</t>
        </r>
      </text>
    </comment>
    <comment ref="I62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</t>
        </r>
        <r>
          <rPr>
            <b/>
            <sz val="8"/>
            <rFont val="Tahoma"/>
            <family val="0"/>
          </rPr>
          <t xml:space="preserve">
</t>
        </r>
      </text>
    </comment>
    <comment ref="C61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789ВДКТ&lt;---&gt;0</t>
        </r>
      </text>
    </comment>
    <comment ref="D61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6 карт&lt;---&gt;0</t>
        </r>
      </text>
    </comment>
    <comment ref="E61" authorId="0">
      <text>
        <r>
          <rPr>
            <sz val="8"/>
            <rFont val="Tahoma"/>
            <family val="2"/>
          </rPr>
          <t xml:space="preserve">Структура расклада у вистующих, при котором оони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789&lt;---&gt;любые,
кроме 5 карт&lt;---&gt;0</t>
        </r>
      </text>
    </comment>
    <comment ref="F61" authorId="0">
      <text>
        <r>
          <rPr>
            <sz val="8"/>
            <rFont val="Tahoma"/>
            <family val="2"/>
          </rPr>
          <t>В дополнение к колонке 0-0 надо добавить расклад, при котором вистующие</t>
        </r>
        <r>
          <rPr>
            <sz val="8"/>
            <rFont val="Tahoma"/>
            <family val="2"/>
          </rPr>
          <t xml:space="preserve"> ловят дырку:
789+3 карты&lt;---&gt;1 карта
</t>
        </r>
      </text>
    </comment>
    <comment ref="G61" authorId="0">
      <text>
        <r>
          <rPr>
            <sz val="8"/>
            <rFont val="Tahoma"/>
            <family val="2"/>
          </rPr>
          <t xml:space="preserve">В дополнение к колонке 0-1 надо добавить расклад, при котором вистующие ловят дырку:
789+2 карты&lt;---&gt;2 карты
</t>
        </r>
      </text>
    </comment>
    <comment ref="G29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78+3 карты&lt;---&gt;2 карты
</t>
        </r>
      </text>
    </comment>
    <comment ref="G50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78+3 карты&lt;---&gt;2 карты
</t>
        </r>
      </text>
    </comment>
    <comment ref="H20" authorId="0">
      <text>
        <r>
          <rPr>
            <sz val="8"/>
            <rFont val="Tahoma"/>
            <family val="2"/>
          </rPr>
          <t xml:space="preserve">В дополнение к колонке 1-0
надо добавить 2 расклада, при которых дырка ловится (с учетом 1-го проноса):
8910 +1 карта&lt;---&gt;1 карта
8(9)(10) + 1 карта---&gt;3 карты
---
При этом структура расклада у вистующих, при которой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8(9)(10) + 2 карты---&gt;2 карты
</t>
        </r>
      </text>
    </comment>
    <comment ref="I20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вистующих, при которой они ловят эту дырку (с учетом 2-х проносов):
8910&lt;---&gt;2 карты
8(9)(10) + 2 карты---&gt;2 карты
</t>
        </r>
      </text>
    </comment>
    <comment ref="H52" authorId="0">
      <text>
        <r>
          <rPr>
            <sz val="8"/>
            <rFont val="Tahoma"/>
            <family val="2"/>
          </rPr>
          <t xml:space="preserve">В дополнение к колонке 1-0
надо добавить 2 расклада, при которых дырка ловится (с учетом 1-го проноса):
8910 +1 карта&lt;---&gt;1 карта
8(9)(10) + 1 карта---&gt;3 карты
---
При этом структура расклада у вистующих, при которой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8910&lt;---&gt;2 карты
8(9)(10) + 2 карты---&gt;2 карты
</t>
        </r>
      </text>
    </comment>
    <comment ref="I52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вистующих, при которой они ловят эту дырку (с учетом 2-х проносов):
8910&lt;---&gt;2 карты
8(9)(10) + 2 карты---&gt;2 карты
</t>
        </r>
      </text>
    </comment>
    <comment ref="F17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зависит.Структура расклада у вистующих:
810В&lt;---&gt;0
</t>
        </r>
      </text>
    </comment>
    <comment ref="C17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зависит.Структура расклада у вистующих:
810В&lt;---&gt;0
</t>
        </r>
      </text>
    </comment>
    <comment ref="C14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G42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C42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
Структура расклада у вистующих:
4 карты&lt;---&gt;0</t>
        </r>
        <r>
          <rPr>
            <b/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зависит.Структура расклада у вистующих:
810В&lt;---&gt;0
</t>
        </r>
      </text>
    </comment>
    <comment ref="F43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зависит.Структура расклада у вистующих:
810В&lt;---&gt;0
</t>
        </r>
      </text>
    </comment>
    <comment ref="G43" authorId="0">
      <text>
        <r>
          <rPr>
            <sz val="8"/>
            <rFont val="Tahoma"/>
            <family val="2"/>
          </rPr>
          <t xml:space="preserve">Вероятность ловли дырки от проносов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зависит.Структура расклада у вистующих:
810В&lt;---&gt;0
</t>
        </r>
      </text>
    </comment>
    <comment ref="F19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G19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F45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G45" authorId="0">
      <text>
        <r>
          <rPr>
            <sz val="8"/>
            <rFont val="Tahoma"/>
            <family val="2"/>
          </rPr>
          <t xml:space="preserve">При увеличении кол-ва проносов вероятность ловли дырки остается </t>
        </r>
        <r>
          <rPr>
            <b/>
            <sz val="8"/>
            <rFont val="Tahoma"/>
            <family val="2"/>
          </rPr>
          <t>неизменной</t>
        </r>
        <r>
          <rPr>
            <sz val="8"/>
            <rFont val="Tahoma"/>
            <family val="2"/>
          </rPr>
          <t xml:space="preserve">.
В дополнение к колонке 0-0
Структура расклада у вистующих:
810В&lt;---&gt;Т
</t>
        </r>
      </text>
    </comment>
    <comment ref="G22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G55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G23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89&lt;---&gt;ТВ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</t>
        </r>
        <r>
          <rPr>
            <b/>
            <sz val="8"/>
            <rFont val="Tahoma"/>
            <family val="2"/>
          </rPr>
          <t xml:space="preserve"> и более</t>
        </r>
        <r>
          <rPr>
            <sz val="8"/>
            <rFont val="Tahoma"/>
            <family val="2"/>
          </rPr>
          <t xml:space="preserve">  проносах) при следующих раскладах:
ТВ8(9)---&gt;9(8)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G56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89&lt;---&gt;ТВ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</t>
        </r>
        <r>
          <rPr>
            <b/>
            <sz val="8"/>
            <rFont val="Tahoma"/>
            <family val="2"/>
          </rPr>
          <t xml:space="preserve"> и более</t>
        </r>
        <r>
          <rPr>
            <sz val="8"/>
            <rFont val="Tahoma"/>
            <family val="2"/>
          </rPr>
          <t xml:space="preserve">  проносах) при следующих раскладах:
ТВ8(9)---&gt;9(8)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</text>
    </comment>
    <comment ref="C25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F25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C47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sz val="8"/>
            <rFont val="Tahoma"/>
            <family val="2"/>
          </rPr>
          <t xml:space="preserve">Вероятность ловли дырки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зависит от проносов.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G24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F57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G57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89&lt;---&gt;Т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F26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G26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F58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G58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89&lt;---&gt;В
Альтернативный метод подсчета:
Дырка </t>
        </r>
        <r>
          <rPr>
            <b/>
            <sz val="8"/>
            <rFont val="Tahoma"/>
            <family val="2"/>
          </rPr>
          <t xml:space="preserve">НЕ </t>
        </r>
        <r>
          <rPr>
            <sz val="8"/>
            <rFont val="Tahoma"/>
            <family val="2"/>
          </rPr>
          <t xml:space="preserve">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В8(9)---&gt;9(8)
Вероятность этих раскладов </t>
        </r>
        <r>
          <rPr>
            <b/>
            <sz val="8"/>
            <rFont val="Tahoma"/>
            <family val="2"/>
          </rPr>
          <t>26,32</t>
        </r>
        <r>
          <rPr>
            <sz val="8"/>
            <rFont val="Tahoma"/>
            <family val="2"/>
          </rPr>
          <t>%
=ЧИСЛКОМБ(1;1)*ЧИСЛКОМБ(2;1)*ЧИСЛКОМБ(17;8)/ЧИСЛКОМБ(20;10)*100</t>
        </r>
      </text>
    </comment>
    <comment ref="C30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F30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G30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C51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F51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G51" authorId="0">
      <text>
        <r>
          <rPr>
            <sz val="8"/>
            <rFont val="Tahoma"/>
            <family val="2"/>
          </rPr>
          <t>Вероятность ловли дырки</t>
        </r>
        <r>
          <rPr>
            <b/>
            <sz val="8"/>
            <rFont val="Tahoma"/>
            <family val="2"/>
          </rPr>
          <t xml:space="preserve"> НЕ </t>
        </r>
        <r>
          <rPr>
            <sz val="8"/>
            <rFont val="Tahoma"/>
            <family val="2"/>
          </rPr>
          <t>зависит от проносов.
Структура расклада у вистующих:
4 карты&lt;---&gt;0
3 карты---&gt;1 карта</t>
        </r>
      </text>
    </comment>
    <comment ref="G15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7&lt;---&gt;5 карт
7+1 карта&lt;---&gt;4 карты
Вероятность этих раскладов </t>
        </r>
        <r>
          <rPr>
            <b/>
            <sz val="8"/>
            <rFont val="Tahoma"/>
            <family val="2"/>
          </rPr>
          <t>18,42</t>
        </r>
        <r>
          <rPr>
            <sz val="8"/>
            <rFont val="Tahoma"/>
            <family val="2"/>
          </rPr>
          <t>%
=2*ЧИСЛКОМБ(1;1)*(ЧИСЛКОМБ(5;0)*ЧИСЛКОМБ(14;9)+ЧИСЛКОМБ(5;1)*ЧИСЛКОМБ(14;8))/ЧИСЛКОМБ(20;10)*100</t>
        </r>
      </text>
    </comment>
    <comment ref="G46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7&lt;---&gt;5 карт
7+1 карта&lt;---&gt;4 карты
Вероятность этих раскладов </t>
        </r>
        <r>
          <rPr>
            <b/>
            <sz val="8"/>
            <rFont val="Tahoma"/>
            <family val="2"/>
          </rPr>
          <t>18,42</t>
        </r>
        <r>
          <rPr>
            <sz val="8"/>
            <rFont val="Tahoma"/>
            <family val="2"/>
          </rPr>
          <t>%
=2*ЧИСЛКОМБ(1;1)*(ЧИСЛКОМБ(5;0)*ЧИСЛКОМБ(14;9)+ЧИСЛКОМБ(5;1)*ЧИСЛКОМБ(14;8))/ЧИСЛКОМБ(20;10)*100</t>
        </r>
      </text>
    </comment>
    <comment ref="G16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9+3 карты---&gt;7+1 карта
5 карт---&gt;7
79&lt;---&gt;4 карты
Вероятность этих раскладов </t>
        </r>
        <r>
          <rPr>
            <b/>
            <sz val="8"/>
            <rFont val="Tahoma"/>
            <family val="2"/>
          </rPr>
          <t>10,84</t>
        </r>
        <r>
          <rPr>
            <sz val="8"/>
            <rFont val="Tahoma"/>
            <family val="2"/>
          </rPr>
          <t>%
=(ЧИСЛКОМБ(1;1)*ЧИСЛКОМБ(1;0)*ЧИСЛКОМБ(4;1)*ЧИСЛКОМБ(14;8)+ЧИСЛКОМБ(1;1)*ЧИСЛКОМБ(5;0)*ЧИСЛКОМБ(14;9)+2*ЧИСЛКОМБ(2;2)*ЧИСЛКОМБ(4;0)*ЧИСЛКОМБ(14;8))/ЧИСЛКОМБ(20;10)*100</t>
        </r>
      </text>
    </comment>
    <comment ref="G48" authorId="0">
      <text>
        <r>
          <rPr>
            <sz val="8"/>
            <rFont val="Tahoma"/>
            <family val="2"/>
          </rPr>
          <t xml:space="preserve">В дополнение к колонке 0-1
Структура расклада у вистующих:
7+2 карты&lt;---&gt;3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9+3 карты---&gt;7+1 карта
5 карт---&gt;7
79&lt;---&gt;4 карты
Вероятность этих раскладов </t>
        </r>
        <r>
          <rPr>
            <b/>
            <sz val="8"/>
            <rFont val="Tahoma"/>
            <family val="2"/>
          </rPr>
          <t>10,84</t>
        </r>
        <r>
          <rPr>
            <sz val="8"/>
            <rFont val="Tahoma"/>
            <family val="2"/>
          </rPr>
          <t>%
=(ЧИСЛКОМБ(1;1)*ЧИСЛКОМБ(1;0)*ЧИСЛКОМБ(4;1)*ЧИСЛКОМБ(14;8)+ЧИСЛКОМБ(1;1)*ЧИСЛКОМБ(5;0)*ЧИСЛКОМБ(14;9)+2*ЧИСЛКОМБ(2;2)*ЧИСЛКОМБ(4;0)*ЧИСЛКОМБ(14;8))/ЧИСЛКОМБ(20;10)*100</t>
        </r>
      </text>
    </comment>
    <comment ref="I54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I27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I53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89&lt;---&gt;2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9(8)+ 2 карты---&gt;8(9)
Вероятность этих раскладов </t>
        </r>
        <r>
          <rPr>
            <b/>
            <sz val="8"/>
            <rFont val="Tahoma"/>
            <family val="2"/>
          </rPr>
          <t>12,38</t>
        </r>
        <r>
          <rPr>
            <sz val="8"/>
            <rFont val="Tahoma"/>
            <family val="2"/>
          </rPr>
          <t>%
=ЧИСЛКОМБ(2;2)*ЧИСЛКОМБ(2;1)*ЧИСЛКОМБ(16;7)/ЧИСЛКОМБ(20;10)*100</t>
        </r>
        <r>
          <rPr>
            <b/>
            <sz val="8"/>
            <rFont val="Tahoma"/>
            <family val="0"/>
          </rPr>
          <t xml:space="preserve">
</t>
        </r>
      </text>
    </comment>
    <comment ref="I46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7+1 карта&lt;---&gt;3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7&lt;---&gt;4 карты
Вероятность этих раскладов </t>
        </r>
        <r>
          <rPr>
            <b/>
            <sz val="8"/>
            <rFont val="Tahoma"/>
            <family val="2"/>
          </rPr>
          <t>5,41</t>
        </r>
        <r>
          <rPr>
            <sz val="8"/>
            <rFont val="Tahoma"/>
            <family val="2"/>
          </rPr>
          <t xml:space="preserve">%
=2*ЧИСЛКОМБ(1;1)*ЧИСЛКОМБ(4;0)*ЧИСЛКОМБ(15;9)/ЧИСЛКОМБ(20;10)*100
</t>
        </r>
      </text>
    </comment>
    <comment ref="I57" authorId="0">
      <text>
        <r>
          <rPr>
            <sz val="8"/>
            <rFont val="Tahoma"/>
            <family val="2"/>
          </rPr>
          <t xml:space="preserve">Снесен Т
Структура расклада у вистующих:
89&lt;---&gt;0
</t>
        </r>
        <r>
          <rPr>
            <b/>
            <sz val="8"/>
            <rFont val="Tahoma"/>
            <family val="0"/>
          </rPr>
          <t xml:space="preserve">
</t>
        </r>
      </text>
    </comment>
    <comment ref="I16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7+1 карта&lt;---&gt;3 карты за вычетом расклада
7+1 карта---&gt;9+2 карты, который уже был учтен ранее в колонке 1-1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4 карты ---&gt; 7
Вероятность этих раскладов  2,71%
=ЧИСЛКОМБ(1;1)*ЧИСЛКОМБ(4;0)*ЧИСЛКОМБ(15;9)/ЧИСЛКОМБ(20;10)*100</t>
        </r>
      </text>
    </comment>
    <comment ref="I48" authorId="0">
      <text>
        <r>
          <rPr>
            <sz val="8"/>
            <rFont val="Tahoma"/>
            <family val="2"/>
          </rPr>
          <t xml:space="preserve">В дополнение к колонке 1-1
Структура расклада у вистующих:
7+1 карта&lt;---&gt;3 карты за вычетом расклада
7+1 карта---&gt;9+2 карты, который уже был учтен ранее в колонке 1-1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проносах) при следующих раскладах:
4 карты ---&gt; 7
Вероятность этих раскладов  2,71%
=ЧИСЛКОМБ(1;1)*ЧИСЛКОМБ(4;0)*ЧИСЛКОМБ(15;9)/ЧИСЛКОМБ(20;10)*100</t>
        </r>
      </text>
    </comment>
    <comment ref="I15" authorId="0">
      <text>
        <r>
          <rPr>
            <sz val="8"/>
            <rFont val="Tahoma"/>
            <family val="2"/>
          </rPr>
          <t xml:space="preserve">В дополнение к колонке 1-0
Структура расклада у вистующих:
7+1 карта&lt;---&gt;3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и 3-х проносах) при следующих раскладах:
7&lt;---&gt;4 карты
Вероятность этих раскладов </t>
        </r>
        <r>
          <rPr>
            <b/>
            <sz val="8"/>
            <rFont val="Tahoma"/>
            <family val="2"/>
          </rPr>
          <t>5,41</t>
        </r>
        <r>
          <rPr>
            <sz val="8"/>
            <rFont val="Tahoma"/>
            <family val="2"/>
          </rPr>
          <t xml:space="preserve">%
=2*ЧИСЛКОМБ(1;1)*ЧИСЛКОМБ(4;0)*ЧИСЛКОМБ(15;9)/ЧИСЛКОМБ(20;10)*100
</t>
        </r>
      </text>
    </comment>
    <comment ref="F60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G60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F31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G31" authorId="0">
      <text>
        <r>
          <rPr>
            <sz val="8"/>
            <rFont val="Tahoma"/>
            <family val="2"/>
          </rPr>
          <t xml:space="preserve">В дополнение к колонке 0-0
Структура расклада у вистующих:
810ВД&lt;---&gt;Т
1 карта +Т---&gt;3 карты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 xml:space="preserve">и более </t>
        </r>
        <r>
          <rPr>
            <sz val="8"/>
            <rFont val="Tahoma"/>
            <family val="2"/>
          </rPr>
          <t xml:space="preserve">проносах) при следующих раскладах:
Txx---&gt;xx
Вероятность этого расклада </t>
        </r>
        <r>
          <rPr>
            <b/>
            <sz val="8"/>
            <rFont val="Tahoma"/>
            <family val="2"/>
          </rPr>
          <t>20,90</t>
        </r>
        <r>
          <rPr>
            <sz val="8"/>
            <rFont val="Tahoma"/>
            <family val="2"/>
          </rPr>
          <t>%
=ЧИСЛКОМБ(1;1)*ЧИСЛКОМБ(4;2)*ЧИСЛКОМБ(15;7)/ЧИСЛКОМБ(20;10)*100</t>
        </r>
      </text>
    </comment>
    <comment ref="H49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I49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H18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I18" authorId="0">
      <text>
        <r>
          <rPr>
            <sz val="8"/>
            <rFont val="Tahoma"/>
            <family val="2"/>
          </rPr>
          <t xml:space="preserve">Снесен Т или К (пусть, для определенности, Т)
В дополнение к колонке 1-0
Структура расклада у вистующих:
810В&lt;---&gt;К
Альтернативный метод подсчета:
Дырка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ловится (при 1-м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К+8(10)(В)&lt;---&gt;2 карты
К+2 карты---&gt;8(10)(В)
Вероятность этих раскладов </t>
        </r>
        <r>
          <rPr>
            <b/>
            <sz val="8"/>
            <rFont val="Tahoma"/>
            <family val="2"/>
          </rPr>
          <t>60,37</t>
        </r>
        <r>
          <rPr>
            <sz val="8"/>
            <rFont val="Tahoma"/>
            <family val="2"/>
          </rPr>
          <t>%
=ЧИСЛКОМБ(1;1)*(2*ЧИСЛКОМБ(3;1)*ЧИСЛКОМБ(16;8)+ЧИСЛКОМБ(3;2)*ЧИСЛКОМБ(16;7))/ЧИСЛКОМБ(20;10)*100</t>
        </r>
      </text>
    </comment>
    <comment ref="G18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810В&lt;---&gt;ТК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ТК+8(10)(В)---&gt;2 карты
ТК+2 карты---&gt;8(10)(В)
Т(К)+2 карты---&gt;8(10)(В)+К(Т)
Вероятность этих раскладов </t>
        </r>
        <r>
          <rPr>
            <b/>
            <sz val="8"/>
            <rFont val="Tahoma"/>
            <family val="2"/>
          </rPr>
          <t>39,47</t>
        </r>
        <r>
          <rPr>
            <sz val="8"/>
            <rFont val="Tahoma"/>
            <family val="2"/>
          </rPr>
          <t>%
=(ЧИСЛКОМБ(2;2)*(ЧИСЛКОМБ(3;1)*ЧИСЛКОМБ(15;7)+ЧИСЛКОМБ(3;2)*ЧИСЛКОМБ(15;6))+ЧИСЛКОМБ(2;1)*ЧИСЛКОМБ(3;2)*ЧИСЛКОМБ(15;7))/ЧИСЛКОМБ(20;10)*100</t>
        </r>
      </text>
    </comment>
    <comment ref="G49" authorId="0">
      <text>
        <r>
          <rPr>
            <sz val="8"/>
            <rFont val="Tahoma"/>
            <family val="2"/>
          </rPr>
          <t>В дополнение к колонке 0-1
Структура расклада у вистующих:
810В&lt;---&gt;ТК
Альтернативный метод подсчета:
Дырка</t>
        </r>
        <r>
          <rPr>
            <b/>
            <sz val="8"/>
            <rFont val="Tahoma"/>
            <family val="2"/>
          </rPr>
          <t xml:space="preserve"> НЕ</t>
        </r>
        <r>
          <rPr>
            <sz val="8"/>
            <rFont val="Tahoma"/>
            <family val="2"/>
          </rPr>
          <t xml:space="preserve"> ловится (при 2-х </t>
        </r>
        <r>
          <rPr>
            <b/>
            <sz val="8"/>
            <rFont val="Tahoma"/>
            <family val="2"/>
          </rPr>
          <t>и более</t>
        </r>
        <r>
          <rPr>
            <sz val="8"/>
            <rFont val="Tahoma"/>
            <family val="2"/>
          </rPr>
          <t xml:space="preserve"> проносах) при следующих раскладах:
ТК+8(10)(В)---&gt;2 карты
ТК+2 карты---&gt;8(10)(В)
Т(К)+2 карты---&gt;8(10)(В)+К(Т)
Вероятность этих раскладов </t>
        </r>
        <r>
          <rPr>
            <b/>
            <sz val="8"/>
            <rFont val="Tahoma"/>
            <family val="2"/>
          </rPr>
          <t>39,47</t>
        </r>
        <r>
          <rPr>
            <sz val="8"/>
            <rFont val="Tahoma"/>
            <family val="2"/>
          </rPr>
          <t>%
=(ЧИСЛКОМБ(2;2)*(ЧИСЛКОМБ(3;1)*ЧИСЛКОМБ(15;7)+ЧИСЛКОМБ(3;2)*ЧИСЛКОМБ(15;6))+ЧИСЛКОМБ(2;1)*ЧИСЛКОМБ(3;2)*ЧИСЛКОМБ(15;7))/ЧИСЛКОМБ(20;10)*100</t>
        </r>
      </text>
    </comment>
    <comment ref="L2" authorId="0">
      <text>
        <r>
          <rPr>
            <sz val="8"/>
            <rFont val="Tahoma"/>
            <family val="2"/>
          </rPr>
          <t>В одной из последних редакций этой таблицы количество ошибок уменьшилось до 5</t>
        </r>
        <r>
          <rPr>
            <sz val="8"/>
            <rFont val="Tahoma"/>
            <family val="0"/>
          </rPr>
          <t xml:space="preserve">
</t>
        </r>
      </text>
    </comment>
    <comment ref="H34" authorId="0">
      <text>
        <r>
          <rPr>
            <sz val="8"/>
            <rFont val="Tahoma"/>
            <family val="2"/>
          </rPr>
          <t xml:space="preserve">В дополнение к колонке 0-1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789+2 карты&lt;---&gt;1 карта
</t>
        </r>
      </text>
    </comment>
    <comment ref="I34" authorId="0">
      <text>
        <r>
          <rPr>
            <sz val="8"/>
            <rFont val="Tahoma"/>
            <family val="2"/>
          </rPr>
          <t xml:space="preserve">В дополнение к колонке 1-1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789+1 карта&lt;---&gt;2 карты
</t>
        </r>
      </text>
    </comment>
    <comment ref="H61" authorId="0">
      <text>
        <r>
          <rPr>
            <sz val="8"/>
            <rFont val="Tahoma"/>
            <family val="2"/>
          </rPr>
          <t xml:space="preserve">В дополнение к колонке 0-1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789+2 карты&lt;---&gt;1 карта
</t>
        </r>
      </text>
    </comment>
    <comment ref="I61" authorId="0">
      <text>
        <r>
          <rPr>
            <sz val="8"/>
            <rFont val="Tahoma"/>
            <family val="2"/>
          </rPr>
          <t xml:space="preserve">В дополнение к колонке 1-1 
за вычетом расклада у вистующих, при котором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дырку:
789+1 карта&lt;---&gt;2 карты
</t>
        </r>
      </text>
    </comment>
    <comment ref="J34" authorId="0">
      <text>
        <r>
          <rPr>
            <sz val="8"/>
            <rFont val="Tahoma"/>
            <family val="2"/>
          </rPr>
          <t>В дополнение к колонке 2-0 
за вычетом расклада у вистующих, при котором они ловят дырку:
789+1 карта&lt;---&gt;1 карта</t>
        </r>
      </text>
    </comment>
    <comment ref="K34" authorId="0">
      <text>
        <r>
          <rPr>
            <sz val="8"/>
            <rFont val="Tahoma"/>
            <family val="2"/>
          </rPr>
          <t xml:space="preserve">В дополнение к колонке 2-1 за вычетом расклада у вистующих, при котором они </t>
        </r>
        <r>
          <rPr>
            <sz val="8"/>
            <rFont val="Tahoma"/>
            <family val="2"/>
          </rPr>
          <t>ловят дырку:
789&lt;---&gt;2 карты</t>
        </r>
      </text>
    </comment>
    <comment ref="J61" authorId="0">
      <text>
        <r>
          <rPr>
            <sz val="8"/>
            <rFont val="Tahoma"/>
            <family val="2"/>
          </rPr>
          <t>В дополнение к колонке 2-0 
за вычетом расклада у вистующих, при котором они ловят дырку:
789+1 карта&lt;---&gt;1 карта</t>
        </r>
      </text>
    </comment>
    <comment ref="K61" authorId="0">
      <text>
        <r>
          <rPr>
            <sz val="8"/>
            <rFont val="Tahoma"/>
            <family val="2"/>
          </rPr>
          <t xml:space="preserve">В дополнение к колонке 2-1 за вычетом расклада у вистующих, при котором они </t>
        </r>
        <r>
          <rPr>
            <sz val="8"/>
            <rFont val="Tahoma"/>
            <family val="2"/>
          </rPr>
          <t>ловят дырку:
789&lt;---&gt;2 карты</t>
        </r>
      </text>
    </comment>
    <comment ref="C5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7910 + 1 карта&lt;---&gt;2 карты
7(9)(10) + 1 карта---&gt;4 карты
7(9)(10) + 2 карты---&gt;3 карты
7(9)(10) + ТКД---&gt;2 карты</t>
        </r>
      </text>
    </comment>
    <comment ref="C28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7910 + 1 карта&lt;---&gt;2 карты
7(9)(10) + 1 карта---&gt;4 карты
7(9)(10) + 2 карты---&gt;3 карты
7(9)(10) + ТКД---&gt;2 карты</t>
        </r>
      </text>
    </comment>
    <comment ref="F5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7(9)(10) + 2 карты---&gt;3 карты
9(10) + ТКД---&gt;7+10(9)
</t>
        </r>
      </text>
    </comment>
    <comment ref="G59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ТКД---&gt;7+10(9)
</t>
        </r>
      </text>
    </comment>
    <comment ref="F28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7910&lt;---&gt;ТКД
7(9)(10) + 2 карты---&gt;3 карты
9(10) + ТКД---&gt;7+10(9)
</t>
        </r>
      </text>
    </comment>
    <comment ref="G28" authorId="0">
      <text>
        <r>
          <rPr>
            <sz val="8"/>
            <rFont val="Tahoma"/>
            <family val="2"/>
          </rPr>
          <t xml:space="preserve">Структура расклада у вистующих, при которой они </t>
        </r>
        <r>
          <rPr>
            <b/>
            <sz val="8"/>
            <rFont val="Tahoma"/>
            <family val="2"/>
          </rPr>
          <t>НЕ</t>
        </r>
        <r>
          <rPr>
            <sz val="8"/>
            <rFont val="Tahoma"/>
            <family val="2"/>
          </rPr>
          <t xml:space="preserve"> ловят эту дырку:
9(10) + ТКД---&gt;7+10(9)
</t>
        </r>
      </text>
    </comment>
  </commentList>
</comments>
</file>

<file path=xl/sharedStrings.xml><?xml version="1.0" encoding="utf-8"?>
<sst xmlns="http://schemas.openxmlformats.org/spreadsheetml/2006/main" count="488" uniqueCount="79">
  <si>
    <t>---</t>
  </si>
  <si>
    <t>Тип дырки</t>
  </si>
  <si>
    <t>без сноса в масти дырки и 1-м проносом</t>
  </si>
  <si>
    <t>без сноса в масти дырки и 2-мя проносами</t>
  </si>
  <si>
    <t>со сносом 1-й карты в масти дырки и 1-м проносом</t>
  </si>
  <si>
    <t>со сносом 2-х карт в масти дырки и 2-мя проносами</t>
  </si>
  <si>
    <t>со сносом 1-й карты в масти дырки и 2-мя проносами</t>
  </si>
  <si>
    <t>со сносом 2-х карт в масти дырки и 1-м проносом</t>
  </si>
  <si>
    <t>79Д</t>
  </si>
  <si>
    <t>без сноса в масти дырки и без проноса</t>
  </si>
  <si>
    <t>со сносом 1-й карты в масти дырки, но без проноса</t>
  </si>
  <si>
    <t>со сносом 2-х карт в масти дырки, но без проноса</t>
  </si>
  <si>
    <t>7В</t>
  </si>
  <si>
    <t>79ДК(Т)</t>
  </si>
  <si>
    <t>79КТ</t>
  </si>
  <si>
    <t>710В</t>
  </si>
  <si>
    <t>79К</t>
  </si>
  <si>
    <t>79ВТ</t>
  </si>
  <si>
    <t>0-0</t>
  </si>
  <si>
    <t>1-0</t>
  </si>
  <si>
    <t>2-0</t>
  </si>
  <si>
    <t>0-1</t>
  </si>
  <si>
    <t>0-2</t>
  </si>
  <si>
    <t>1-1</t>
  </si>
  <si>
    <t>1-2</t>
  </si>
  <si>
    <t>2-1</t>
  </si>
  <si>
    <t>2-2</t>
  </si>
  <si>
    <t>Код колонки</t>
  </si>
  <si>
    <t>710ВД</t>
  </si>
  <si>
    <t>Чужой ход (или невыгодность розыгрыша масти дырки при своем ходе)</t>
  </si>
  <si>
    <t>Ситуация</t>
  </si>
  <si>
    <t>710ВДК</t>
  </si>
  <si>
    <t>79ДКТ</t>
  </si>
  <si>
    <t>710ВДКТ</t>
  </si>
  <si>
    <t>Без сноса в масти дырки</t>
  </si>
  <si>
    <t>Cо сносом 1-й карты в масти дырки</t>
  </si>
  <si>
    <t>Cо сносом 2-х карт в масти дырки</t>
  </si>
  <si>
    <t>Свой ход (или отсутствует пронос в масти дырки)</t>
  </si>
  <si>
    <t>7Д</t>
  </si>
  <si>
    <t>8В</t>
  </si>
  <si>
    <t>710Д</t>
  </si>
  <si>
    <t>отсутствует</t>
  </si>
  <si>
    <t>1 (Т7)</t>
  </si>
  <si>
    <t>2 (Т7)</t>
  </si>
  <si>
    <t>3 (Т7)</t>
  </si>
  <si>
    <t>1 (Т8)</t>
  </si>
  <si>
    <t>3 (Т8)</t>
  </si>
  <si>
    <t>2 (Т8)</t>
  </si>
  <si>
    <t>1 (строка)</t>
  </si>
  <si>
    <t>Номера столбцов со значениями в таблице</t>
  </si>
  <si>
    <t>710ДК(Т)</t>
  </si>
  <si>
    <t>710ДКТ</t>
  </si>
  <si>
    <t>Лесной Д.С. "Русский Преферанс", Приложение 2 Таблица 5, стр. 647 (Данные по 10 дыркам, включая дырку 7В на стр. 425-427, Всего дается 11 значений)</t>
  </si>
  <si>
    <t>710К</t>
  </si>
  <si>
    <t>0-3</t>
  </si>
  <si>
    <t>без сноса в масти дырки и 3-мя проносами</t>
  </si>
  <si>
    <r>
      <t xml:space="preserve">Тарнавский К. "Преферанс (Учебное пособие)", Глава "Как производить снос на мизере", стр. 64-67, г. Одесса, 1992 г. (Данные по 15 дыркам, из 67 значений </t>
    </r>
    <r>
      <rPr>
        <sz val="10"/>
        <rFont val="Arial Cyr"/>
        <family val="0"/>
      </rPr>
      <t>27</t>
    </r>
    <r>
      <rPr>
        <sz val="10"/>
        <rFont val="Arial Cyr"/>
        <family val="0"/>
      </rPr>
      <t xml:space="preserve"> ошибочных)</t>
    </r>
  </si>
  <si>
    <t>1-3</t>
  </si>
  <si>
    <t>со сносом 1-й карты в масти дырки и 3-мя проносами</t>
  </si>
  <si>
    <t>2-3</t>
  </si>
  <si>
    <t>со сносом 2-х карт в масти дырки и 3-мя проносами</t>
  </si>
  <si>
    <t>Розалиев Н.Ю. "Преферанс. Бридж", Глава 3 "Мизерные системы", стр.243-244. М:Фаир-Пресс 2001 г. (Данные по 14 дыркам, из 84 значений 32 ошибочных )</t>
  </si>
  <si>
    <t>Эрик И.А., Александров Е.М. «Современный преферанс», Глава 5.2 "Дырки" (Таблицы №№ 7-8), Йошкар-Ола, 1994 г.(Данные по 15 дыркам, из 78 значений 27 ошибочных )</t>
  </si>
  <si>
    <t>без сноса в масти дырки</t>
  </si>
  <si>
    <t>со сносом 1-й карты в масти дырки</t>
  </si>
  <si>
    <t>со сносом 2-х карт в масти дырки</t>
  </si>
  <si>
    <t>0-макс</t>
  </si>
  <si>
    <t>1-макс</t>
  </si>
  <si>
    <t>2-макс</t>
  </si>
  <si>
    <t>Со сносом 2-х карт в масти дырки</t>
  </si>
  <si>
    <t>Таблица №1. Максимальная вероятность ловли дырок на мизере</t>
  </si>
  <si>
    <t>Таблица №2. Максимальная вероятность ловли дырок на мизере</t>
  </si>
  <si>
    <t>Таблица №3. Максимальная вероятность ловли дырок на мизере</t>
  </si>
  <si>
    <t>Таблица №4. Максимальная вероятность ловли дырок на мизере</t>
  </si>
  <si>
    <t>Таблица №5. Максимальная вероятность ловли дырок на мизере</t>
  </si>
  <si>
    <t>Таблица №1A. Максимальная вероятность ловли дырок на мизере</t>
  </si>
  <si>
    <t>Таблица №2A. Максимальная вероятность ловли дырок на мизере</t>
  </si>
  <si>
    <r>
      <t xml:space="preserve">Таблица №6. Минимальная вероятность </t>
    </r>
    <r>
      <rPr>
        <b/>
        <sz val="10"/>
        <color indexed="10"/>
        <rFont val="Arial Cyr"/>
        <family val="0"/>
      </rPr>
      <t>НЕЛОВЛИ</t>
    </r>
    <r>
      <rPr>
        <b/>
        <sz val="10"/>
        <rFont val="Arial Cyr"/>
        <family val="0"/>
      </rPr>
      <t xml:space="preserve"> дырки </t>
    </r>
    <r>
      <rPr>
        <b/>
        <sz val="10"/>
        <color indexed="10"/>
        <rFont val="Arial Cyr"/>
        <family val="0"/>
      </rPr>
      <t>НЕЗАВИСИМО</t>
    </r>
    <r>
      <rPr>
        <b/>
        <sz val="10"/>
        <rFont val="Arial Cyr"/>
        <family val="0"/>
      </rPr>
      <t xml:space="preserve"> от проносов</t>
    </r>
  </si>
  <si>
    <t>Урбанович В.Е. "Секреты мастерства на основе анализа и расчетов", Глава "Мизер", Таблица №3, стр. 21, г.Жуков 2002 г. (Данные по 13 дыркам, из 78 значений 21 ошибочных 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</si>
</sst>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sz val="10"/>
      <color indexed="12"/>
      <name val="Arial Cyr"/>
      <family val="0"/>
    </font>
    <font>
      <b/>
      <sz val="8"/>
      <name val="Tahoma"/>
      <family val="0"/>
    </font>
    <font>
      <u val="single"/>
      <sz val="7.5"/>
      <color indexed="12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Tahoma"/>
      <family val="2"/>
    </font>
    <font>
      <u val="single"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double"/>
      <top style="thin"/>
      <bottom style="thin"/>
    </border>
    <border>
      <left style="thin"/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double"/>
      <top style="double"/>
      <bottom style="thin"/>
    </border>
    <border>
      <left style="thin"/>
      <right style="medium"/>
      <top style="double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 quotePrefix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 vertical="center" wrapText="1" shrinkToFit="1"/>
    </xf>
    <xf numFmtId="2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 horizontal="center"/>
    </xf>
    <xf numFmtId="2" fontId="0" fillId="0" borderId="20" xfId="0" applyNumberFormat="1" applyBorder="1" applyAlignment="1" quotePrefix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21" xfId="0" applyBorder="1" applyAlignment="1">
      <alignment horizontal="center" vertical="center"/>
    </xf>
    <xf numFmtId="2" fontId="0" fillId="0" borderId="17" xfId="0" applyNumberFormat="1" applyFill="1" applyBorder="1" applyAlignment="1">
      <alignment horizontal="center"/>
    </xf>
    <xf numFmtId="0" fontId="2" fillId="33" borderId="22" xfId="0" applyFont="1" applyFill="1" applyBorder="1" applyAlignment="1" quotePrefix="1">
      <alignment horizontal="center" vertical="center"/>
    </xf>
    <xf numFmtId="0" fontId="2" fillId="33" borderId="23" xfId="0" applyFont="1" applyFill="1" applyBorder="1" applyAlignment="1" quotePrefix="1">
      <alignment horizontal="center" vertical="center"/>
    </xf>
    <xf numFmtId="0" fontId="2" fillId="34" borderId="23" xfId="0" applyFont="1" applyFill="1" applyBorder="1" applyAlignment="1" quotePrefix="1">
      <alignment horizontal="center" vertical="center"/>
    </xf>
    <xf numFmtId="0" fontId="2" fillId="34" borderId="24" xfId="0" applyFont="1" applyFill="1" applyBorder="1" applyAlignment="1" quotePrefix="1">
      <alignment horizontal="center" vertical="center"/>
    </xf>
    <xf numFmtId="2" fontId="0" fillId="35" borderId="12" xfId="0" applyNumberFormat="1" applyFill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0" fontId="2" fillId="36" borderId="23" xfId="0" applyFont="1" applyFill="1" applyBorder="1" applyAlignment="1" quotePrefix="1">
      <alignment horizontal="center" vertical="center"/>
    </xf>
    <xf numFmtId="2" fontId="0" fillId="0" borderId="14" xfId="0" applyNumberFormat="1" applyFill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35" borderId="27" xfId="0" applyNumberFormat="1" applyFill="1" applyBorder="1" applyAlignment="1">
      <alignment horizontal="center"/>
    </xf>
    <xf numFmtId="0" fontId="0" fillId="0" borderId="28" xfId="0" applyBorder="1" applyAlignment="1">
      <alignment horizontal="center" vertical="center" wrapText="1" shrinkToFit="1"/>
    </xf>
    <xf numFmtId="0" fontId="2" fillId="33" borderId="29" xfId="0" applyFont="1" applyFill="1" applyBorder="1" applyAlignment="1" quotePrefix="1">
      <alignment horizontal="center" vertical="center"/>
    </xf>
    <xf numFmtId="0" fontId="2" fillId="34" borderId="30" xfId="0" applyFont="1" applyFill="1" applyBorder="1" applyAlignment="1" quotePrefix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0" fillId="0" borderId="14" xfId="0" applyNumberFormat="1" applyBorder="1" applyAlignment="1" quotePrefix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0" fontId="0" fillId="37" borderId="35" xfId="0" applyFill="1" applyBorder="1" applyAlignment="1">
      <alignment horizontal="center" vertical="center" wrapText="1" shrinkToFit="1"/>
    </xf>
    <xf numFmtId="0" fontId="0" fillId="37" borderId="36" xfId="0" applyFill="1" applyBorder="1" applyAlignment="1">
      <alignment horizontal="center" vertical="center" wrapText="1" shrinkToFit="1"/>
    </xf>
    <xf numFmtId="2" fontId="0" fillId="0" borderId="37" xfId="0" applyNumberFormat="1" applyBorder="1" applyAlignment="1" quotePrefix="1">
      <alignment horizontal="center"/>
    </xf>
    <xf numFmtId="2" fontId="0" fillId="0" borderId="37" xfId="0" applyNumberFormat="1" applyBorder="1" applyAlignment="1">
      <alignment horizontal="center"/>
    </xf>
    <xf numFmtId="2" fontId="0" fillId="35" borderId="37" xfId="0" applyNumberFormat="1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6" xfId="0" applyFill="1" applyBorder="1" applyAlignment="1">
      <alignment horizontal="center" vertical="center" wrapText="1" shrinkToFit="1"/>
    </xf>
    <xf numFmtId="2" fontId="0" fillId="35" borderId="39" xfId="0" applyNumberFormat="1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40" xfId="0" applyNumberFormat="1" applyFill="1" applyBorder="1" applyAlignment="1">
      <alignment horizontal="center"/>
    </xf>
    <xf numFmtId="2" fontId="0" fillId="35" borderId="40" xfId="0" applyNumberFormat="1" applyFill="1" applyBorder="1" applyAlignment="1">
      <alignment horizontal="center"/>
    </xf>
    <xf numFmtId="0" fontId="2" fillId="36" borderId="22" xfId="0" applyFont="1" applyFill="1" applyBorder="1" applyAlignment="1" quotePrefix="1">
      <alignment horizontal="center" vertical="center"/>
    </xf>
    <xf numFmtId="0" fontId="2" fillId="33" borderId="41" xfId="0" applyFont="1" applyFill="1" applyBorder="1" applyAlignment="1" quotePrefix="1">
      <alignment horizontal="center" vertical="center"/>
    </xf>
    <xf numFmtId="2" fontId="0" fillId="0" borderId="42" xfId="0" applyNumberFormat="1" applyBorder="1" applyAlignment="1">
      <alignment horizontal="center"/>
    </xf>
    <xf numFmtId="0" fontId="2" fillId="33" borderId="36" xfId="0" applyFont="1" applyFill="1" applyBorder="1" applyAlignment="1" quotePrefix="1">
      <alignment horizontal="center" vertical="center"/>
    </xf>
    <xf numFmtId="0" fontId="2" fillId="33" borderId="24" xfId="0" applyFont="1" applyFill="1" applyBorder="1" applyAlignment="1" quotePrefix="1">
      <alignment horizontal="center" vertical="center"/>
    </xf>
    <xf numFmtId="0" fontId="2" fillId="34" borderId="22" xfId="0" applyFont="1" applyFill="1" applyBorder="1" applyAlignment="1" quotePrefix="1">
      <alignment horizontal="center" vertical="center"/>
    </xf>
    <xf numFmtId="0" fontId="2" fillId="36" borderId="24" xfId="0" applyFont="1" applyFill="1" applyBorder="1" applyAlignment="1" quotePrefix="1">
      <alignment horizontal="center" vertical="center"/>
    </xf>
    <xf numFmtId="2" fontId="0" fillId="0" borderId="18" xfId="0" applyNumberFormat="1" applyFill="1" applyBorder="1" applyAlignment="1">
      <alignment horizontal="center"/>
    </xf>
    <xf numFmtId="0" fontId="2" fillId="33" borderId="43" xfId="0" applyFont="1" applyFill="1" applyBorder="1" applyAlignment="1" quotePrefix="1">
      <alignment horizontal="center" vertical="center"/>
    </xf>
    <xf numFmtId="0" fontId="0" fillId="0" borderId="44" xfId="0" applyBorder="1" applyAlignment="1">
      <alignment horizontal="center" vertical="center" wrapText="1" shrinkToFit="1"/>
    </xf>
    <xf numFmtId="2" fontId="0" fillId="0" borderId="45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2" fontId="0" fillId="0" borderId="46" xfId="0" applyNumberFormat="1" applyFill="1" applyBorder="1" applyAlignment="1">
      <alignment horizontal="center"/>
    </xf>
    <xf numFmtId="2" fontId="0" fillId="35" borderId="4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47" xfId="0" applyBorder="1" applyAlignment="1">
      <alignment horizontal="center" vertical="center" wrapText="1" shrinkToFit="1"/>
    </xf>
    <xf numFmtId="2" fontId="0" fillId="0" borderId="40" xfId="0" applyNumberFormat="1" applyBorder="1" applyAlignment="1" quotePrefix="1">
      <alignment horizontal="center"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50" xfId="0" applyNumberFormat="1" applyBorder="1" applyAlignment="1">
      <alignment horizontal="center"/>
    </xf>
    <xf numFmtId="2" fontId="0" fillId="0" borderId="51" xfId="0" applyNumberFormat="1" applyBorder="1" applyAlignment="1">
      <alignment horizontal="center"/>
    </xf>
    <xf numFmtId="2" fontId="0" fillId="0" borderId="51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33" xfId="0" applyFont="1" applyFill="1" applyBorder="1" applyAlignment="1">
      <alignment horizontal="center"/>
    </xf>
    <xf numFmtId="49" fontId="0" fillId="0" borderId="52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2" fontId="0" fillId="0" borderId="38" xfId="0" applyNumberForma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0" fontId="0" fillId="0" borderId="47" xfId="0" applyFill="1" applyBorder="1" applyAlignment="1">
      <alignment horizontal="center" vertical="center" wrapText="1" shrinkToFit="1"/>
    </xf>
    <xf numFmtId="0" fontId="0" fillId="0" borderId="13" xfId="0" applyFill="1" applyBorder="1" applyAlignment="1">
      <alignment horizontal="center" vertical="center" wrapText="1" shrinkToFit="1"/>
    </xf>
    <xf numFmtId="2" fontId="0" fillId="0" borderId="42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56" xfId="0" applyFont="1" applyBorder="1" applyAlignment="1">
      <alignment vertical="center"/>
    </xf>
    <xf numFmtId="2" fontId="0" fillId="0" borderId="0" xfId="0" applyNumberFormat="1" applyFill="1" applyBorder="1" applyAlignment="1">
      <alignment horizontal="center"/>
    </xf>
    <xf numFmtId="2" fontId="0" fillId="35" borderId="58" xfId="0" applyNumberFormat="1" applyFill="1" applyBorder="1" applyAlignment="1">
      <alignment horizontal="center"/>
    </xf>
    <xf numFmtId="2" fontId="0" fillId="0" borderId="48" xfId="0" applyNumberFormat="1" applyBorder="1" applyAlignment="1" quotePrefix="1">
      <alignment horizontal="center"/>
    </xf>
    <xf numFmtId="2" fontId="0" fillId="0" borderId="46" xfId="0" applyNumberFormat="1" applyBorder="1" applyAlignment="1" quotePrefix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40" xfId="0" applyNumberFormat="1" applyFill="1" applyBorder="1" applyAlignment="1" quotePrefix="1">
      <alignment horizontal="center"/>
    </xf>
    <xf numFmtId="2" fontId="0" fillId="0" borderId="60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61" xfId="0" applyNumberFormat="1" applyFill="1" applyBorder="1" applyAlignment="1">
      <alignment horizontal="center"/>
    </xf>
    <xf numFmtId="2" fontId="0" fillId="0" borderId="62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4" xfId="0" applyNumberFormat="1" applyFill="1" applyBorder="1" applyAlignment="1" quotePrefix="1">
      <alignment horizontal="center"/>
    </xf>
    <xf numFmtId="2" fontId="0" fillId="0" borderId="20" xfId="0" applyNumberFormat="1" applyFill="1" applyBorder="1" applyAlignment="1" quotePrefix="1">
      <alignment horizontal="center"/>
    </xf>
    <xf numFmtId="2" fontId="0" fillId="0" borderId="12" xfId="0" applyNumberFormat="1" applyFill="1" applyBorder="1" applyAlignment="1" quotePrefix="1">
      <alignment horizontal="center"/>
    </xf>
    <xf numFmtId="2" fontId="0" fillId="0" borderId="67" xfId="0" applyNumberFormat="1" applyFill="1" applyBorder="1" applyAlignment="1">
      <alignment horizontal="center"/>
    </xf>
    <xf numFmtId="2" fontId="0" fillId="0" borderId="37" xfId="0" applyNumberFormat="1" applyFill="1" applyBorder="1" applyAlignment="1" quotePrefix="1">
      <alignment horizontal="center"/>
    </xf>
    <xf numFmtId="2" fontId="0" fillId="0" borderId="68" xfId="0" applyNumberFormat="1" applyFill="1" applyBorder="1" applyAlignment="1">
      <alignment horizontal="center"/>
    </xf>
    <xf numFmtId="2" fontId="0" fillId="0" borderId="48" xfId="0" applyNumberFormat="1" applyFill="1" applyBorder="1" applyAlignment="1">
      <alignment horizontal="center"/>
    </xf>
    <xf numFmtId="2" fontId="0" fillId="0" borderId="69" xfId="0" applyNumberFormat="1" applyFill="1" applyBorder="1" applyAlignment="1">
      <alignment horizontal="center"/>
    </xf>
    <xf numFmtId="2" fontId="0" fillId="0" borderId="25" xfId="0" applyNumberFormat="1" applyFill="1" applyBorder="1" applyAlignment="1" quotePrefix="1">
      <alignment horizontal="center"/>
    </xf>
    <xf numFmtId="2" fontId="0" fillId="0" borderId="70" xfId="0" applyNumberFormat="1" applyFill="1" applyBorder="1" applyAlignment="1" quotePrefix="1">
      <alignment horizontal="center"/>
    </xf>
    <xf numFmtId="2" fontId="0" fillId="0" borderId="71" xfId="0" applyNumberFormat="1" applyFill="1" applyBorder="1" applyAlignment="1">
      <alignment horizontal="center"/>
    </xf>
    <xf numFmtId="0" fontId="0" fillId="0" borderId="72" xfId="0" applyBorder="1" applyAlignment="1">
      <alignment horizontal="center" vertical="center"/>
    </xf>
    <xf numFmtId="0" fontId="2" fillId="0" borderId="73" xfId="0" applyFont="1" applyFill="1" applyBorder="1" applyAlignment="1">
      <alignment horizontal="center"/>
    </xf>
    <xf numFmtId="2" fontId="0" fillId="0" borderId="74" xfId="0" applyNumberFormat="1" applyBorder="1" applyAlignment="1">
      <alignment horizontal="center"/>
    </xf>
    <xf numFmtId="2" fontId="0" fillId="0" borderId="75" xfId="0" applyNumberFormat="1" applyBorder="1" applyAlignment="1">
      <alignment horizontal="center"/>
    </xf>
    <xf numFmtId="2" fontId="0" fillId="0" borderId="76" xfId="0" applyNumberFormat="1" applyBorder="1" applyAlignment="1">
      <alignment horizontal="center"/>
    </xf>
    <xf numFmtId="2" fontId="0" fillId="0" borderId="77" xfId="0" applyNumberFormat="1" applyFill="1" applyBorder="1" applyAlignment="1">
      <alignment horizontal="center"/>
    </xf>
    <xf numFmtId="2" fontId="0" fillId="0" borderId="75" xfId="0" applyNumberFormat="1" applyFill="1" applyBorder="1" applyAlignment="1">
      <alignment horizontal="center"/>
    </xf>
    <xf numFmtId="2" fontId="0" fillId="0" borderId="76" xfId="0" applyNumberFormat="1" applyFill="1" applyBorder="1" applyAlignment="1">
      <alignment horizontal="center"/>
    </xf>
    <xf numFmtId="2" fontId="0" fillId="0" borderId="77" xfId="0" applyNumberFormat="1" applyBorder="1" applyAlignment="1">
      <alignment horizontal="center"/>
    </xf>
    <xf numFmtId="2" fontId="0" fillId="0" borderId="78" xfId="0" applyNumberFormat="1" applyBorder="1" applyAlignment="1">
      <alignment horizontal="center"/>
    </xf>
    <xf numFmtId="2" fontId="0" fillId="35" borderId="48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 shrinkToFit="1"/>
    </xf>
    <xf numFmtId="2" fontId="0" fillId="35" borderId="65" xfId="0" applyNumberFormat="1" applyFill="1" applyBorder="1" applyAlignment="1">
      <alignment horizontal="center"/>
    </xf>
    <xf numFmtId="2" fontId="0" fillId="0" borderId="65" xfId="0" applyNumberFormat="1" applyBorder="1" applyAlignment="1">
      <alignment horizontal="center"/>
    </xf>
    <xf numFmtId="2" fontId="0" fillId="0" borderId="79" xfId="0" applyNumberFormat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80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64" xfId="0" applyFont="1" applyBorder="1" applyAlignment="1">
      <alignment horizontal="center"/>
    </xf>
    <xf numFmtId="0" fontId="0" fillId="0" borderId="81" xfId="0" applyBorder="1" applyAlignment="1">
      <alignment horizontal="center" vertical="center"/>
    </xf>
    <xf numFmtId="0" fontId="2" fillId="33" borderId="30" xfId="0" applyFont="1" applyFill="1" applyBorder="1" applyAlignment="1" quotePrefix="1">
      <alignment horizontal="center" vertical="center"/>
    </xf>
    <xf numFmtId="0" fontId="2" fillId="33" borderId="47" xfId="0" applyFont="1" applyFill="1" applyBorder="1" applyAlignment="1" quotePrefix="1">
      <alignment horizontal="center" vertical="center"/>
    </xf>
    <xf numFmtId="2" fontId="0" fillId="0" borderId="82" xfId="0" applyNumberFormat="1" applyBorder="1" applyAlignment="1">
      <alignment horizontal="center"/>
    </xf>
    <xf numFmtId="2" fontId="0" fillId="0" borderId="83" xfId="0" applyNumberFormat="1" applyFill="1" applyBorder="1" applyAlignment="1">
      <alignment horizontal="center"/>
    </xf>
    <xf numFmtId="2" fontId="0" fillId="0" borderId="74" xfId="0" applyNumberFormat="1" applyFill="1" applyBorder="1" applyAlignment="1">
      <alignment horizontal="center"/>
    </xf>
    <xf numFmtId="2" fontId="0" fillId="0" borderId="84" xfId="0" applyNumberFormat="1" applyFill="1" applyBorder="1" applyAlignment="1">
      <alignment horizontal="center"/>
    </xf>
    <xf numFmtId="2" fontId="0" fillId="0" borderId="80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 shrinkToFit="1"/>
    </xf>
    <xf numFmtId="0" fontId="2" fillId="0" borderId="78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6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" fillId="36" borderId="30" xfId="0" applyFont="1" applyFill="1" applyBorder="1" applyAlignment="1" quotePrefix="1">
      <alignment horizontal="center" vertical="center"/>
    </xf>
    <xf numFmtId="2" fontId="0" fillId="0" borderId="88" xfId="0" applyNumberFormat="1" applyBorder="1" applyAlignment="1">
      <alignment horizontal="center"/>
    </xf>
    <xf numFmtId="2" fontId="0" fillId="0" borderId="54" xfId="0" applyNumberFormat="1" applyFill="1" applyBorder="1" applyAlignment="1">
      <alignment horizontal="center"/>
    </xf>
    <xf numFmtId="0" fontId="2" fillId="0" borderId="89" xfId="0" applyFon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90" xfId="0" applyNumberFormat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91" xfId="0" applyNumberFormat="1" applyFill="1" applyBorder="1" applyAlignment="1">
      <alignment horizontal="center"/>
    </xf>
    <xf numFmtId="2" fontId="1" fillId="0" borderId="27" xfId="0" applyNumberFormat="1" applyFont="1" applyFill="1" applyBorder="1" applyAlignment="1">
      <alignment horizontal="center"/>
    </xf>
    <xf numFmtId="2" fontId="1" fillId="0" borderId="42" xfId="0" applyNumberFormat="1" applyFont="1" applyFill="1" applyBorder="1" applyAlignment="1">
      <alignment horizontal="center"/>
    </xf>
    <xf numFmtId="2" fontId="1" fillId="0" borderId="61" xfId="0" applyNumberFormat="1" applyFont="1" applyFill="1" applyBorder="1" applyAlignment="1">
      <alignment horizontal="center"/>
    </xf>
    <xf numFmtId="2" fontId="1" fillId="0" borderId="92" xfId="0" applyNumberFormat="1" applyFont="1" applyFill="1" applyBorder="1" applyAlignment="1">
      <alignment horizontal="center"/>
    </xf>
    <xf numFmtId="0" fontId="2" fillId="38" borderId="33" xfId="0" applyFont="1" applyFill="1" applyBorder="1" applyAlignment="1">
      <alignment horizontal="center"/>
    </xf>
    <xf numFmtId="0" fontId="1" fillId="0" borderId="91" xfId="0" applyFont="1" applyBorder="1" applyAlignment="1">
      <alignment vertical="center"/>
    </xf>
    <xf numFmtId="0" fontId="2" fillId="38" borderId="87" xfId="0" applyFont="1" applyFill="1" applyBorder="1" applyAlignment="1">
      <alignment horizontal="center"/>
    </xf>
    <xf numFmtId="2" fontId="0" fillId="0" borderId="38" xfId="0" applyNumberFormat="1" applyFill="1" applyBorder="1" applyAlignment="1" quotePrefix="1">
      <alignment horizontal="center"/>
    </xf>
    <xf numFmtId="2" fontId="0" fillId="0" borderId="50" xfId="0" applyNumberFormat="1" applyFill="1" applyBorder="1" applyAlignment="1" quotePrefix="1">
      <alignment horizontal="center"/>
    </xf>
    <xf numFmtId="2" fontId="1" fillId="0" borderId="93" xfId="0" applyNumberFormat="1" applyFont="1" applyFill="1" applyBorder="1" applyAlignment="1">
      <alignment horizontal="center"/>
    </xf>
    <xf numFmtId="2" fontId="0" fillId="0" borderId="94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9" borderId="59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2" fontId="0" fillId="0" borderId="78" xfId="0" applyNumberFormat="1" applyFill="1" applyBorder="1" applyAlignment="1">
      <alignment horizontal="center"/>
    </xf>
    <xf numFmtId="0" fontId="2" fillId="39" borderId="95" xfId="0" applyFont="1" applyFill="1" applyBorder="1" applyAlignment="1">
      <alignment horizontal="center"/>
    </xf>
    <xf numFmtId="2" fontId="0" fillId="0" borderId="96" xfId="0" applyNumberFormat="1" applyFill="1" applyBorder="1" applyAlignment="1" quotePrefix="1">
      <alignment horizontal="center"/>
    </xf>
    <xf numFmtId="0" fontId="2" fillId="39" borderId="97" xfId="0" applyFont="1" applyFill="1" applyBorder="1" applyAlignment="1">
      <alignment horizontal="center"/>
    </xf>
    <xf numFmtId="2" fontId="0" fillId="0" borderId="88" xfId="0" applyNumberFormat="1" applyFill="1" applyBorder="1" applyAlignment="1">
      <alignment horizontal="center"/>
    </xf>
    <xf numFmtId="2" fontId="0" fillId="0" borderId="55" xfId="0" applyNumberFormat="1" applyFill="1" applyBorder="1" applyAlignment="1">
      <alignment horizontal="center"/>
    </xf>
    <xf numFmtId="0" fontId="2" fillId="36" borderId="98" xfId="0" applyFont="1" applyFill="1" applyBorder="1" applyAlignment="1" quotePrefix="1">
      <alignment horizontal="center" vertical="center"/>
    </xf>
    <xf numFmtId="0" fontId="0" fillId="37" borderId="99" xfId="0" applyFill="1" applyBorder="1" applyAlignment="1">
      <alignment horizontal="center" vertical="center" wrapText="1" shrinkToFit="1"/>
    </xf>
    <xf numFmtId="2" fontId="0" fillId="0" borderId="100" xfId="0" applyNumberFormat="1" applyBorder="1" applyAlignment="1">
      <alignment horizontal="center"/>
    </xf>
    <xf numFmtId="2" fontId="0" fillId="0" borderId="100" xfId="0" applyNumberFormat="1" applyFill="1" applyBorder="1" applyAlignment="1">
      <alignment horizontal="center"/>
    </xf>
    <xf numFmtId="0" fontId="2" fillId="33" borderId="98" xfId="0" applyFont="1" applyFill="1" applyBorder="1" applyAlignment="1" quotePrefix="1">
      <alignment horizontal="center" vertical="center"/>
    </xf>
    <xf numFmtId="2" fontId="0" fillId="0" borderId="101" xfId="0" applyNumberFormat="1" applyFill="1" applyBorder="1" applyAlignment="1">
      <alignment horizontal="center"/>
    </xf>
    <xf numFmtId="2" fontId="0" fillId="0" borderId="102" xfId="0" applyNumberFormat="1" applyFont="1" applyFill="1" applyBorder="1" applyAlignment="1">
      <alignment horizontal="center"/>
    </xf>
    <xf numFmtId="0" fontId="2" fillId="34" borderId="98" xfId="0" applyFont="1" applyFill="1" applyBorder="1" applyAlignment="1" quotePrefix="1">
      <alignment horizontal="center" vertical="center"/>
    </xf>
    <xf numFmtId="2" fontId="0" fillId="0" borderId="103" xfId="0" applyNumberFormat="1" applyFill="1" applyBorder="1" applyAlignment="1">
      <alignment horizontal="center"/>
    </xf>
    <xf numFmtId="2" fontId="0" fillId="0" borderId="104" xfId="0" applyNumberFormat="1" applyFill="1" applyBorder="1" applyAlignment="1">
      <alignment horizontal="center"/>
    </xf>
    <xf numFmtId="0" fontId="1" fillId="34" borderId="56" xfId="0" applyFont="1" applyFill="1" applyBorder="1" applyAlignment="1" quotePrefix="1">
      <alignment horizontal="center" vertical="center"/>
    </xf>
    <xf numFmtId="0" fontId="1" fillId="34" borderId="56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0" fillId="0" borderId="7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1" fillId="36" borderId="56" xfId="0" applyFont="1" applyFill="1" applyBorder="1" applyAlignment="1">
      <alignment horizontal="center" vertical="center"/>
    </xf>
    <xf numFmtId="0" fontId="1" fillId="36" borderId="44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0" fillId="0" borderId="105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78" xfId="0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6" borderId="56" xfId="0" applyFont="1" applyFill="1" applyBorder="1" applyAlignment="1" quotePrefix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10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4"/>
  <sheetViews>
    <sheetView tabSelected="1" zoomScalePageLayoutView="0" workbookViewId="0" topLeftCell="A63">
      <selection activeCell="I86" sqref="I86"/>
    </sheetView>
  </sheetViews>
  <sheetFormatPr defaultColWidth="9.00390625" defaultRowHeight="12.75"/>
  <cols>
    <col min="1" max="1" width="5.25390625" style="0" customWidth="1"/>
    <col min="2" max="2" width="12.125" style="0" customWidth="1"/>
    <col min="3" max="3" width="14.375" style="0" customWidth="1"/>
    <col min="4" max="4" width="14.625" style="0" customWidth="1"/>
    <col min="5" max="5" width="15.625" style="0" customWidth="1"/>
    <col min="6" max="6" width="15.00390625" style="0" customWidth="1"/>
    <col min="7" max="7" width="16.125" style="0" customWidth="1"/>
    <col min="8" max="8" width="15.00390625" style="0" customWidth="1"/>
    <col min="9" max="9" width="15.125" style="0" customWidth="1"/>
    <col min="10" max="10" width="14.75390625" style="0" customWidth="1"/>
    <col min="11" max="11" width="16.125" style="0" customWidth="1"/>
  </cols>
  <sheetData>
    <row r="1" ht="13.5" thickBot="1"/>
    <row r="2" spans="2:28" ht="18.75" customHeight="1" thickBot="1">
      <c r="B2" s="216" t="s">
        <v>49</v>
      </c>
      <c r="C2" s="82">
        <v>1</v>
      </c>
      <c r="D2" s="83">
        <v>3</v>
      </c>
      <c r="E2" s="83">
        <v>5</v>
      </c>
      <c r="F2" s="83">
        <v>2</v>
      </c>
      <c r="G2" s="83">
        <v>4</v>
      </c>
      <c r="H2" s="83">
        <v>6</v>
      </c>
      <c r="I2" s="83" t="s">
        <v>41</v>
      </c>
      <c r="J2" s="84" t="s">
        <v>41</v>
      </c>
      <c r="K2" s="85" t="s">
        <v>41</v>
      </c>
      <c r="L2" s="206" t="s">
        <v>78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2:29" ht="18.75" customHeight="1" thickBot="1">
      <c r="B3" s="217"/>
      <c r="C3" s="86">
        <v>1</v>
      </c>
      <c r="D3" s="87">
        <v>4</v>
      </c>
      <c r="E3" s="87" t="s">
        <v>41</v>
      </c>
      <c r="F3" s="87">
        <v>2</v>
      </c>
      <c r="G3" s="87">
        <v>5</v>
      </c>
      <c r="H3" s="87" t="s">
        <v>41</v>
      </c>
      <c r="I3" s="87">
        <v>3</v>
      </c>
      <c r="J3" s="87">
        <v>6</v>
      </c>
      <c r="K3" s="88" t="s">
        <v>41</v>
      </c>
      <c r="L3" s="206" t="s">
        <v>61</v>
      </c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8"/>
      <c r="AB3" s="103"/>
      <c r="AC3" s="73"/>
    </row>
    <row r="4" spans="2:28" ht="18.75" customHeight="1" thickBot="1">
      <c r="B4" s="217"/>
      <c r="C4" s="86" t="s">
        <v>42</v>
      </c>
      <c r="D4" s="87" t="s">
        <v>45</v>
      </c>
      <c r="E4" s="87" t="s">
        <v>41</v>
      </c>
      <c r="F4" s="87" t="s">
        <v>43</v>
      </c>
      <c r="G4" s="87" t="s">
        <v>47</v>
      </c>
      <c r="H4" s="87" t="s">
        <v>41</v>
      </c>
      <c r="I4" s="87" t="s">
        <v>44</v>
      </c>
      <c r="J4" s="87" t="s">
        <v>46</v>
      </c>
      <c r="K4" s="88" t="s">
        <v>41</v>
      </c>
      <c r="L4" s="206" t="s">
        <v>62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8"/>
    </row>
    <row r="5" spans="2:29" ht="18.75" customHeight="1" thickBot="1">
      <c r="B5" s="217"/>
      <c r="C5" s="86" t="s">
        <v>48</v>
      </c>
      <c r="D5" s="87" t="s">
        <v>41</v>
      </c>
      <c r="E5" s="87" t="s">
        <v>41</v>
      </c>
      <c r="F5" s="87" t="s">
        <v>41</v>
      </c>
      <c r="G5" s="87" t="s">
        <v>41</v>
      </c>
      <c r="H5" s="87" t="s">
        <v>41</v>
      </c>
      <c r="I5" s="87" t="s">
        <v>41</v>
      </c>
      <c r="J5" s="87" t="s">
        <v>41</v>
      </c>
      <c r="K5" s="88" t="s">
        <v>41</v>
      </c>
      <c r="L5" s="206" t="s">
        <v>52</v>
      </c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8"/>
      <c r="AA5" s="93"/>
      <c r="AB5" s="93"/>
      <c r="AC5" s="73"/>
    </row>
    <row r="6" spans="2:28" ht="18.75" customHeight="1" thickBot="1">
      <c r="B6" s="218"/>
      <c r="C6" s="89">
        <v>2</v>
      </c>
      <c r="D6" s="90">
        <v>3</v>
      </c>
      <c r="E6" s="90">
        <v>4</v>
      </c>
      <c r="F6" s="90" t="s">
        <v>41</v>
      </c>
      <c r="G6" s="90" t="s">
        <v>41</v>
      </c>
      <c r="H6" s="90" t="s">
        <v>41</v>
      </c>
      <c r="I6" s="90" t="s">
        <v>41</v>
      </c>
      <c r="J6" s="90" t="s">
        <v>41</v>
      </c>
      <c r="K6" s="91" t="s">
        <v>41</v>
      </c>
      <c r="L6" s="206" t="s">
        <v>56</v>
      </c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8"/>
    </row>
    <row r="8" spans="5:23" ht="13.5" thickBot="1">
      <c r="E8" s="7" t="s">
        <v>70</v>
      </c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</row>
    <row r="9" spans="2:23" ht="13.5" thickBot="1">
      <c r="B9" s="18" t="s">
        <v>30</v>
      </c>
      <c r="C9" s="219" t="s">
        <v>34</v>
      </c>
      <c r="D9" s="220"/>
      <c r="E9" s="221"/>
      <c r="F9" s="222" t="s">
        <v>35</v>
      </c>
      <c r="G9" s="211"/>
      <c r="H9" s="212"/>
      <c r="I9" s="203" t="s">
        <v>36</v>
      </c>
      <c r="J9" s="204"/>
      <c r="K9" s="205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</row>
    <row r="10" spans="2:23" ht="13.5" thickBot="1">
      <c r="B10" s="35" t="s">
        <v>27</v>
      </c>
      <c r="C10" s="56" t="s">
        <v>18</v>
      </c>
      <c r="D10" s="20" t="s">
        <v>21</v>
      </c>
      <c r="E10" s="57" t="s">
        <v>22</v>
      </c>
      <c r="F10" s="53" t="s">
        <v>19</v>
      </c>
      <c r="G10" s="27" t="s">
        <v>23</v>
      </c>
      <c r="H10" s="59" t="s">
        <v>24</v>
      </c>
      <c r="I10" s="58" t="s">
        <v>20</v>
      </c>
      <c r="J10" s="22" t="s">
        <v>25</v>
      </c>
      <c r="K10" s="23" t="s">
        <v>26</v>
      </c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</row>
    <row r="11" spans="2:20" ht="59.25" customHeight="1" thickBot="1">
      <c r="B11" s="79" t="s">
        <v>1</v>
      </c>
      <c r="C11" s="42" t="s">
        <v>9</v>
      </c>
      <c r="D11" s="2" t="s">
        <v>2</v>
      </c>
      <c r="E11" s="3" t="s">
        <v>3</v>
      </c>
      <c r="F11" s="68" t="s">
        <v>10</v>
      </c>
      <c r="G11" s="2" t="s">
        <v>4</v>
      </c>
      <c r="H11" s="3" t="s">
        <v>6</v>
      </c>
      <c r="I11" s="8" t="s">
        <v>11</v>
      </c>
      <c r="J11" s="2" t="s">
        <v>7</v>
      </c>
      <c r="K11" s="3" t="s">
        <v>5</v>
      </c>
      <c r="L11" s="73"/>
      <c r="M11" s="92"/>
      <c r="N11" s="92"/>
      <c r="O11" s="92"/>
      <c r="P11" s="92"/>
      <c r="Q11" s="92"/>
      <c r="R11" s="92"/>
      <c r="S11" s="92"/>
      <c r="T11" s="92"/>
    </row>
    <row r="12" spans="1:12" ht="12.75">
      <c r="A12">
        <v>1</v>
      </c>
      <c r="B12" s="108">
        <v>8</v>
      </c>
      <c r="C12" s="39">
        <f>2*COMBIN(7,7)*COMBIN(13,3)/COMBIN(20,10)*100</f>
        <v>0.30959752321981426</v>
      </c>
      <c r="D12" s="12">
        <f>2*COMBIN(1,1)*COMBIN(6,5)*COMBIN(13,4)/COMBIN(20,10)*100+C12</f>
        <v>4.953560371517028</v>
      </c>
      <c r="E12" s="13">
        <f>2*COMBIN(1,1)*COMBIN(6,4)*COMBIN(13,5)/COMBIN(20,10)*100+D12</f>
        <v>25.85139318885449</v>
      </c>
      <c r="F12" s="47">
        <f>2*COMBIN(6,6)*COMBIN(14,4)/COMBIN(20,10)*100</f>
        <v>1.08359133126935</v>
      </c>
      <c r="G12" s="12">
        <f>2*COMBIN(1,1)*COMBIN(5,4)*COMBIN(14,5)/COMBIN(20,10)*100+F12</f>
        <v>11.91950464396285</v>
      </c>
      <c r="H12" s="60">
        <f>2*COMBIN(1,1)*COMBIN(5,3)*COMBIN(14,6)/COMBIN(20,10)*100+G12</f>
        <v>44.42724458204334</v>
      </c>
      <c r="I12" s="11">
        <f>2*COMBIN(5,5)*COMBIN(15,5)/COMBIN(20,10)*100</f>
        <v>3.2507739938080498</v>
      </c>
      <c r="J12" s="12">
        <f>2*COMBIN(1,1)*COMBIN(4,3)*COMBIN(15,6)/COMBIN(20,10)*100+I12</f>
        <v>24.922600619195048</v>
      </c>
      <c r="K12" s="13">
        <f>2*COMBIN(1,1)*COMBIN(4,2)*COMBIN(15,7)/COMBIN(20,10)*100+J12</f>
        <v>66.71826625386997</v>
      </c>
      <c r="L12" s="73"/>
    </row>
    <row r="13" spans="1:11" ht="12.75">
      <c r="A13">
        <v>2</v>
      </c>
      <c r="B13" s="81">
        <v>710</v>
      </c>
      <c r="C13" s="40">
        <f>(2*COMBIN(6,6)*COMBIN(14,4)+COMBIN(2,1)*COMBIN(4,0)*COMBIN(14,9))/COMBIN(20,10)*100</f>
        <v>3.2507739938080498</v>
      </c>
      <c r="D13" s="4">
        <f>(2*COMBIN(2,2)*COMBIN(4,3)*COMBIN(14,5)+COMBIN(2,1)*COMBIN(4,1)*COMBIN(14,8))/COMBIN(20,10)*100+C13</f>
        <v>24.922600619195048</v>
      </c>
      <c r="E13" s="16">
        <f>(2*COMBIN(2,2)*COMBIN(4,2)*COMBIN(14,6)+COMBIN(2,1)*COMBIN(4,2)*COMBIN(14,7))/COMBIN(20,10)*100+D13</f>
        <v>66.71826625386997</v>
      </c>
      <c r="F13" s="9">
        <f>(2*COMBIN(5,5)*COMBIN(15,5)+COMBIN(2,1)*COMBIN(3,0)*COMBIN(15,9))/COMBIN(20,10)*100</f>
        <v>8.6687306501548</v>
      </c>
      <c r="G13" s="6">
        <f>(2*COMBIN(2,2)*COMBIN(3,2)*COMBIN(15,6)+COMBIN(2,1)*COMBIN(3,2)*COMBIN(15,7))/COMBIN(20,10)*100+F13</f>
        <v>45.82043343653251</v>
      </c>
      <c r="H13" s="16">
        <f>(2*COMBIN(2,2)*COMBIN(3,1)*COMBIN(15,7)+COMBIN(2,1)*COMBIN(3,2)*COMBIN(15,7))/COMBIN(20,10)*100+G13</f>
        <v>87.61609907120743</v>
      </c>
      <c r="I13" s="9">
        <f>(2*COMBIN(4,4)*COMBIN(16,6)+COMBIN(2,1)*COMBIN(2,0)*COMBIN(16,9))/COMBIN(20,10)*100</f>
        <v>21.052631578947366</v>
      </c>
      <c r="J13" s="6">
        <f>(2*COMBIN(2,2)*COMBIN(2,1)*COMBIN(16,7)+COMBIN(2,1)*COMBIN(2,1)*COMBIN(16,8))/COMBIN(20,10)*100+I13</f>
        <v>73.68421052631578</v>
      </c>
      <c r="K13" s="17">
        <f>2*COMBIN(2,2)*COMBIN(2,0)*COMBIN(16,8)/COMBIN(20,10)*100+J13</f>
        <v>87.61609907120742</v>
      </c>
    </row>
    <row r="14" spans="1:11" ht="12.75">
      <c r="A14">
        <v>3</v>
      </c>
      <c r="B14" s="81" t="s">
        <v>17</v>
      </c>
      <c r="C14" s="40">
        <f>2*COMBIN(4,4)*COMBIN(16,6)/COMBIN(20,10)*100</f>
        <v>8.6687306501548</v>
      </c>
      <c r="D14" s="163">
        <f>2*COMBIN(4,4)*COMBIN(16,6)/COMBIN(20,10)*100</f>
        <v>8.6687306501548</v>
      </c>
      <c r="E14" s="45">
        <f>2*COMBIN(4,4)*COMBIN(16,6)/COMBIN(20,10)*100</f>
        <v>8.6687306501548</v>
      </c>
      <c r="F14" s="69" t="s">
        <v>0</v>
      </c>
      <c r="G14" s="5" t="s">
        <v>0</v>
      </c>
      <c r="H14" s="15" t="s">
        <v>0</v>
      </c>
      <c r="I14" s="38" t="s">
        <v>0</v>
      </c>
      <c r="J14" s="5" t="s">
        <v>0</v>
      </c>
      <c r="K14" s="15" t="s">
        <v>0</v>
      </c>
    </row>
    <row r="15" spans="1:11" ht="12.75">
      <c r="A15">
        <v>4</v>
      </c>
      <c r="B15" s="81">
        <v>89</v>
      </c>
      <c r="C15" s="40">
        <f>2*(COMBIN(6,6)*COMBIN(14,4)+COMBIN(1,1)*COMBIN(5,4)*COMBIN(14,5))/COMBIN(20,10)*100</f>
        <v>11.91950464396285</v>
      </c>
      <c r="D15" s="4">
        <f>2*COMBIN(1,1)*COMBIN(5,3)*COMBIN(14,6)/COMBIN(20,10)*100+C15</f>
        <v>44.42724458204334</v>
      </c>
      <c r="E15" s="16">
        <f>2*COMBIN(1,1)*COMBIN(5,2)*COMBIN(14,7)/COMBIN(20,10)*100+D15</f>
        <v>81.57894736842105</v>
      </c>
      <c r="F15" s="9">
        <f>2*(COMBIN(5,5)*COMBIN(15,5)+COMBIN(1,1)*COMBIN(4,3)*COMBIN(15,6))/COMBIN(20,10)*100</f>
        <v>24.922600619195045</v>
      </c>
      <c r="G15" s="4">
        <f>2*COMBIN(1,1)*COMBIN(4,2)*COMBIN(15,7)/COMBIN(20,10)*100+F15</f>
        <v>66.71826625386996</v>
      </c>
      <c r="H15" s="16">
        <f>2*COMBIN(1,1)*COMBIN(4,1)*COMBIN(15,8)/COMBIN(20,10)*100+G15</f>
        <v>94.58204334365323</v>
      </c>
      <c r="I15" s="9">
        <f>2*(COMBIN(4,4)*COMBIN(16,6)+COMBIN(1,1)*COMBIN(3,2)*COMBIN(16,7))/COMBIN(20,10)*100</f>
        <v>45.82043343653251</v>
      </c>
      <c r="J15" s="4">
        <f>2*COMBIN(1,1)*COMBIN(3,1)*COMBIN(16,8)/COMBIN(20,10)*100+I15</f>
        <v>87.61609907120743</v>
      </c>
      <c r="K15" s="16">
        <f>2*COMBIN(1,1)*COMBIN(3,1)*COMBIN(16,8)/COMBIN(20,10)*100+I15</f>
        <v>87.61609907120743</v>
      </c>
    </row>
    <row r="16" spans="1:11" ht="12.75">
      <c r="A16">
        <v>5</v>
      </c>
      <c r="B16" s="81">
        <v>810</v>
      </c>
      <c r="C16" s="40">
        <f>(2*COMBIN(6,6)*COMBIN(14,4)+2*COMBIN(1,1)*COMBIN(5,4)*COMBIN(14,5)+COMBIN(1,1)*COMBIN(5,0)*COMBIN(14,9))/COMBIN(20,10)*100</f>
        <v>13.003095975232199</v>
      </c>
      <c r="D16" s="6">
        <f>(2*COMBIN(1,1)*COMBIN(5,3)*COMBIN(14,6)+COMBIN(1,1)*COMBIN(1,0)*COMBIN(4,1)*COMBIN(14,8))/COMBIN(20,10)*100+C16</f>
        <v>52.01238390092878</v>
      </c>
      <c r="E16" s="17">
        <f>2*COMBIN(1,1)*COMBIN(5,2)*COMBIN(14,7)/COMBIN(20,10)*100+D16</f>
        <v>89.1640866873065</v>
      </c>
      <c r="F16" s="9">
        <f>(2*COMBIN(5,5)*COMBIN(15,5)+2*COMBIN(1,1)*COMBIN(4,3)*COMBIN(15,6)+COMBIN(1,1)*COMBIN(4,0)*COMBIN(15,9))/COMBIN(20,10)*100</f>
        <v>27.631578947368425</v>
      </c>
      <c r="G16" s="6">
        <f>(2*COMBIN(1,1)*COMBIN(4,2)*COMBIN(15,7)+COMBIN(1,1)*COMBIN(1,0)*COMBIN(3,1)*COMBIN(15,8))/COMBIN(20,10)*100+F16</f>
        <v>79.87616099071207</v>
      </c>
      <c r="H16" s="17">
        <f>(2*COMBIN(1,1)*COMBIN(4,1)*COMBIN(15,8)-COMBIN(1,1)*COMBIN(1,0)*COMBIN(3,1)*COMBIN(15,8))/COMBIN(20,10)*100+G16</f>
        <v>97.29102167182661</v>
      </c>
      <c r="I16" s="9">
        <f>(2*COMBIN(4,4)*COMBIN(16,6)+2*COMBIN(1,1)*COMBIN(3,2)*COMBIN(16,7)+COMBIN(1,1)*COMBIN(3,0)*COMBIN(16,9))/COMBIN(20,10)*100</f>
        <v>52.012383900928796</v>
      </c>
      <c r="J16" s="6">
        <f>2*COMBIN(1,1)*COMBIN(3,1)*COMBIN(16,8)/COMBIN(20,10)*100+I16</f>
        <v>93.80804953560371</v>
      </c>
      <c r="K16" s="17">
        <f>2*COMBIN(1,1)*COMBIN(3,1)*COMBIN(16,8)/COMBIN(20,10)*100+I16</f>
        <v>93.80804953560371</v>
      </c>
    </row>
    <row r="17" spans="1:11" ht="12.75">
      <c r="A17">
        <v>6</v>
      </c>
      <c r="B17" s="81" t="s">
        <v>32</v>
      </c>
      <c r="C17" s="31">
        <f>2*COMBIN(3,3)*COMBIN(17,7)/COMBIN(20,10)*100</f>
        <v>21.052631578947366</v>
      </c>
      <c r="D17" s="24">
        <f>2*COMBIN(3,3)*COMBIN(17,7)/COMBIN(20,10)*100</f>
        <v>21.052631578947366</v>
      </c>
      <c r="E17" s="26">
        <f>2*COMBIN(3,3)*COMBIN(17,7)/COMBIN(20,10)*100</f>
        <v>21.052631578947366</v>
      </c>
      <c r="F17" s="38" t="s">
        <v>0</v>
      </c>
      <c r="G17" s="5" t="s">
        <v>0</v>
      </c>
      <c r="H17" s="15" t="s">
        <v>0</v>
      </c>
      <c r="I17" s="38" t="s">
        <v>0</v>
      </c>
      <c r="J17" s="5" t="s">
        <v>0</v>
      </c>
      <c r="K17" s="15" t="s">
        <v>0</v>
      </c>
    </row>
    <row r="18" spans="1:11" ht="12.75">
      <c r="A18">
        <v>7</v>
      </c>
      <c r="B18" s="81" t="s">
        <v>8</v>
      </c>
      <c r="C18" s="40">
        <f>(2*COMBIN(5,5)*COMBIN(15,5)+COMBIN(3,1)*COMBIN(2,0)*COMBIN(15,9)+COMBIN(3,2)*COMBIN(2,0)*COMBIN(15,8))/COMBIN(20,10)*100</f>
        <v>21.826625386996902</v>
      </c>
      <c r="D18" s="4">
        <f>(2*COMBIN(3,3)*COMBIN(2,1)*COMBIN(15,6)+COMBIN(3,1)*COMBIN(2,1)*COMBIN(15,8))/COMBIN(20,10)*100+C18</f>
        <v>53.56037151702786</v>
      </c>
      <c r="E18" s="16">
        <f>2*COMBIN(3,3)*COMBIN(2,0)*COMBIN(15,7)/COMBIN(20,10)*100+D18</f>
        <v>60.52631578947368</v>
      </c>
      <c r="F18" s="25">
        <f>(2*COMBIN(4,4)*COMBIN(16,6)+COMBIN(3,1)*COMBIN(1,0)*COMBIN(16,9))/COMBIN(20,10)*100</f>
        <v>27.24458204334365</v>
      </c>
      <c r="G18" s="24">
        <f>2*COMBIN(3,3)*COMBIN(1,0)*COMBIN(16,7)/COMBIN(20,10)*100+F18</f>
        <v>39.628482972136226</v>
      </c>
      <c r="H18" s="26">
        <f>2*COMBIN(3,3)*COMBIN(1,0)*COMBIN(16,7)/COMBIN(20,10)*100+F18</f>
        <v>39.628482972136226</v>
      </c>
      <c r="I18" s="25">
        <f>2*COMBIN(3,3)*COMBIN(17,7)/COMBIN(20,10)*100</f>
        <v>21.052631578947366</v>
      </c>
      <c r="J18" s="24">
        <f>I18</f>
        <v>21.052631578947366</v>
      </c>
      <c r="K18" s="26">
        <f>I18</f>
        <v>21.052631578947366</v>
      </c>
    </row>
    <row r="19" spans="1:11" ht="12.75">
      <c r="A19">
        <v>8</v>
      </c>
      <c r="B19" s="81" t="s">
        <v>13</v>
      </c>
      <c r="C19" s="31">
        <f>(2*COMBIN(4,4)*COMBIN(16,6)+COMBIN(3,1)*COMBIN(1,0)*COMBIN(16,9))/COMBIN(20,10)*100</f>
        <v>27.24458204334365</v>
      </c>
      <c r="D19" s="24">
        <f>2*COMBIN(3,3)*COMBIN(1,0)*COMBIN(16,7)/COMBIN(20,10)*100+C19</f>
        <v>39.628482972136226</v>
      </c>
      <c r="E19" s="26">
        <f>2*COMBIN(3,3)*COMBIN(1,0)*COMBIN(16,7)/COMBIN(20,10)*100+C19</f>
        <v>39.628482972136226</v>
      </c>
      <c r="F19" s="25">
        <f>2*COMBIN(3,3)*COMBIN(17,7)/COMBIN(20,10)*100</f>
        <v>21.052631578947366</v>
      </c>
      <c r="G19" s="24">
        <f>2*COMBIN(3,3)*COMBIN(17,7)/COMBIN(20,10)*100</f>
        <v>21.052631578947366</v>
      </c>
      <c r="H19" s="26">
        <f>2*COMBIN(3,3)*COMBIN(17,7)/COMBIN(20,10)*100</f>
        <v>21.052631578947366</v>
      </c>
      <c r="I19" s="38" t="s">
        <v>0</v>
      </c>
      <c r="J19" s="5" t="s">
        <v>0</v>
      </c>
      <c r="K19" s="15" t="s">
        <v>0</v>
      </c>
    </row>
    <row r="20" spans="1:12" ht="12.75">
      <c r="A20">
        <v>9</v>
      </c>
      <c r="B20" s="81" t="s">
        <v>12</v>
      </c>
      <c r="C20" s="40">
        <f>100-(2*COMBIN(3,3)*(COMBIN(17,7)-COMBIN(3,3)*COMBIN(14,4))+COMBIN(3,1)*(COMBIN(17,9)-COMBIN(3,0)*COMBIN(14,9)))/COMBIN(20,10)*100</f>
        <v>43.80804953560371</v>
      </c>
      <c r="D20" s="4">
        <f>(2*COMBIN(3,3)*COMBIN(3,2)*COMBIN(14,5)+COMBIN(3,1)*COMBIN(3,1)*COMBIN(14,8))/COMBIN(20,10)*100+C20</f>
        <v>64.93808049535603</v>
      </c>
      <c r="E20" s="16">
        <f>(2*COMBIN(3,3)*COMBIN(3,1)*COMBIN(14,6)+COMBIN(3,1)*COMBIN(3,2)*COMBIN(14,7))/COMBIN(20,10)*100+D20</f>
        <v>91.40866873065015</v>
      </c>
      <c r="F20" s="9">
        <f>100-(2*COMBIN(3,3)*(COMBIN(2,0)*COMBIN(15,7)+COMBIN(2,1)*COMBIN(15,6))+COMBIN(3,1)*(COMBIN(2,1)*COMBIN(15,8)+COMBIN(2,2)*COMBIN(15,7)))/COMBIN(20,10)*100</f>
        <v>50.8513931888545</v>
      </c>
      <c r="G20" s="4">
        <f>(2*COMBIN(3,3)*COMBIN(2,1)*COMBIN(15,6)+COMBIN(3,1)*COMBIN(2,1)*COMBIN(15,8))/COMBIN(20,10)*100+F20</f>
        <v>82.58513931888545</v>
      </c>
      <c r="H20" s="16">
        <f>(2*COMBIN(3,3)*COMBIN(2,0)*COMBIN(15,7)+COMBIN(3,1)*COMBIN(2,2)*COMBIN(15,7))/COMBIN(20,10)*100+G20</f>
        <v>100</v>
      </c>
      <c r="I20" s="9">
        <f>100-(2*COMBIN(3,3)*COMBIN(1,0)*COMBIN(16,7)+COMBIN(3,1)*COMBIN(1,1)*COMBIN(16,8))/COMBIN(20,10)*100</f>
        <v>66.71826625386997</v>
      </c>
      <c r="J20" s="4">
        <v>100</v>
      </c>
      <c r="K20" s="16">
        <v>100</v>
      </c>
      <c r="L20" s="73"/>
    </row>
    <row r="21" spans="1:11" ht="12.75">
      <c r="A21">
        <v>10</v>
      </c>
      <c r="B21" s="81" t="s">
        <v>15</v>
      </c>
      <c r="C21" s="40">
        <f>(2*COMBIN(5,5)*COMBIN(15,5)+2*COMBIN(2,2)*COMBIN(3,2)*COMBIN(15,6)+COMBIN(2,1)*COMBIN(3,2)*COMBIN(15,7)+COMBIN(2,1)*COMBIN(3,0)*COMBIN(15,9))/COMBIN(20,10)*100</f>
        <v>45.82043343653251</v>
      </c>
      <c r="D21" s="4">
        <f>2*COMBIN(2,2)*COMBIN(3,1)*COMBIN(15,7)/COMBIN(20,10)*100+C21</f>
        <v>66.71826625386997</v>
      </c>
      <c r="E21" s="16">
        <f>COMBIN(2,1)*COMBIN(3,2)*COMBIN(15,7)/COMBIN(20,10)*100+D21</f>
        <v>87.61609907120743</v>
      </c>
      <c r="F21" s="25">
        <f>(2*COMBIN(4,4)*COMBIN(16,6)+2*COMBIN(2,2)*COMBIN(2,1)*COMBIN(16,7)+COMBIN(2,1)*COMBIN(2,2)*COMBIN(16,7))/COMBIN(20,10)*100</f>
        <v>45.82043343653251</v>
      </c>
      <c r="G21" s="24">
        <f>COMBIN(2,1)*COMBIN(2,1)*COMBIN(16,8)/COMBIN(20,10)*100+F21</f>
        <v>73.68421052631578</v>
      </c>
      <c r="H21" s="26">
        <f>2*COMBIN(2,2)*COMBIN(2,0)*COMBIN(16,8)/COMBIN(20,10)*100+G21</f>
        <v>87.61609907120742</v>
      </c>
      <c r="I21" s="25">
        <f>(2*COMBIN(3,3)*COMBIN(17,7)+COMBIN(2,1)*COMBIN(1,0)*COMBIN(17,9))/COMBIN(20,10)*100</f>
        <v>47.368421052631575</v>
      </c>
      <c r="J21" s="24">
        <f>2*COMBIN(2,2)*COMBIN(1,0)*COMBIN(17,8)/COMBIN(20,10)*100+I21</f>
        <v>73.68421052631578</v>
      </c>
      <c r="K21" s="26">
        <f>2*COMBIN(2,2)*COMBIN(1,0)*COMBIN(17,8)/COMBIN(20,10)*100+I21</f>
        <v>73.68421052631578</v>
      </c>
    </row>
    <row r="22" spans="1:12" ht="12.75">
      <c r="A22">
        <v>11</v>
      </c>
      <c r="B22" s="81" t="s">
        <v>28</v>
      </c>
      <c r="C22" s="31">
        <f>(2*COMBIN(4,4)*COMBIN(16,6)+2*COMBIN(2,2)*COMBIN(2,1)*COMBIN(16,7)+COMBIN(2,1)*COMBIN(2,0)*COMBIN(16,9))/COMBIN(20,10)*100</f>
        <v>45.82043343653251</v>
      </c>
      <c r="D22" s="24">
        <f>COMBIN(2,1)*COMBIN(2,1)*COMBIN(16,8)/COMBIN(20,10)*100+C22</f>
        <v>73.68421052631578</v>
      </c>
      <c r="E22" s="26">
        <f>2*COMBIN(2,2)*COMBIN(2,0)*COMBIN(16,8)/COMBIN(20,10)*100+D22</f>
        <v>87.61609907120742</v>
      </c>
      <c r="F22" s="25">
        <f>(2*COMBIN(3,3)*COMBIN(17,7)+COMBIN(2,1)*COMBIN(1,0)*COMBIN(17,9))/COMBIN(20,10)*100</f>
        <v>47.368421052631575</v>
      </c>
      <c r="G22" s="24">
        <f>2*COMBIN(2,2)*COMBIN(1,0)*COMBIN(17,8)/COMBIN(20,10)*100+F22</f>
        <v>73.68421052631578</v>
      </c>
      <c r="H22" s="26">
        <f>2*COMBIN(2,2)*COMBIN(1,0)*COMBIN(17,8)/COMBIN(20,10)*100+I22</f>
        <v>73.68421052631578</v>
      </c>
      <c r="I22" s="25">
        <f>2*COMBIN(2,2)*COMBIN(18,8)/COMBIN(20,10)*100</f>
        <v>47.368421052631575</v>
      </c>
      <c r="J22" s="24">
        <f>2*COMBIN(2,2)*COMBIN(18,8)/COMBIN(20,10)*100</f>
        <v>47.368421052631575</v>
      </c>
      <c r="K22" s="26">
        <f>2*COMBIN(2,2)*COMBIN(18,8)/COMBIN(20,10)*100</f>
        <v>47.368421052631575</v>
      </c>
      <c r="L22" s="73"/>
    </row>
    <row r="23" spans="1:12" ht="12.75">
      <c r="A23">
        <v>12</v>
      </c>
      <c r="B23" s="81" t="s">
        <v>50</v>
      </c>
      <c r="C23" s="31">
        <f>(2*COMBIN(4,4)*COMBIN(16,6)+2*COMBIN(2,2)*COMBIN(2,1)*COMBIN(16,7)+COMBIN(2,1)*COMBIN(2,0)*COMBIN(16,9))/COMBIN(20,10)*100</f>
        <v>45.82043343653251</v>
      </c>
      <c r="D23" s="24">
        <f>COMBIN(2,1)*COMBIN(2,1)*COMBIN(16,8)/COMBIN(20,10)*100+C23</f>
        <v>73.68421052631578</v>
      </c>
      <c r="E23" s="26">
        <f>2*COMBIN(2,2)*COMBIN(2,0)*COMBIN(16,8)/COMBIN(20,10)*100+D23</f>
        <v>87.61609907120742</v>
      </c>
      <c r="F23" s="25">
        <f>(2*COMBIN(3,3)*COMBIN(17,7)+COMBIN(2,1)*COMBIN(1,0)*COMBIN(17,9))/COMBIN(20,10)*100</f>
        <v>47.368421052631575</v>
      </c>
      <c r="G23" s="24">
        <f>2*COMBIN(2,2)*COMBIN(1,0)*COMBIN(17,8)/COMBIN(20,10)*100+F23</f>
        <v>73.68421052631578</v>
      </c>
      <c r="H23" s="26">
        <f>2*COMBIN(2,2)*COMBIN(1,0)*COMBIN(17,8)/COMBIN(20,10)*100+F23</f>
        <v>73.68421052631578</v>
      </c>
      <c r="I23" s="38" t="s">
        <v>0</v>
      </c>
      <c r="J23" s="5" t="s">
        <v>0</v>
      </c>
      <c r="K23" s="15" t="s">
        <v>0</v>
      </c>
      <c r="L23" s="73"/>
    </row>
    <row r="24" spans="1:11" ht="12.75">
      <c r="A24">
        <v>13</v>
      </c>
      <c r="B24" s="81" t="s">
        <v>33</v>
      </c>
      <c r="C24" s="31">
        <f>2*COMBIN(2,2)*COMBIN(18,8)/COMBIN(20,10)*100</f>
        <v>47.368421052631575</v>
      </c>
      <c r="D24" s="24">
        <f>2*COMBIN(2,2)*COMBIN(18,8)/COMBIN(20,10)*100</f>
        <v>47.368421052631575</v>
      </c>
      <c r="E24" s="26">
        <f>2*COMBIN(2,2)*COMBIN(18,8)/COMBIN(20,10)*100</f>
        <v>47.368421052631575</v>
      </c>
      <c r="F24" s="38" t="s">
        <v>0</v>
      </c>
      <c r="G24" s="5" t="s">
        <v>0</v>
      </c>
      <c r="H24" s="15" t="s">
        <v>0</v>
      </c>
      <c r="I24" s="38" t="s">
        <v>0</v>
      </c>
      <c r="J24" s="5" t="s">
        <v>0</v>
      </c>
      <c r="K24" s="15" t="s">
        <v>0</v>
      </c>
    </row>
    <row r="25" spans="1:11" ht="12.75">
      <c r="A25">
        <v>14</v>
      </c>
      <c r="B25" s="81" t="s">
        <v>31</v>
      </c>
      <c r="C25" s="31">
        <f>(2*COMBIN(3,3)*COMBIN(17,7)+COMBIN(2,1)*COMBIN(1,0)*COMBIN(17,9))/COMBIN(20,10)*100</f>
        <v>47.368421052631575</v>
      </c>
      <c r="D25" s="24">
        <f>2*COMBIN(2,2)*COMBIN(1,0)*COMBIN(17,8)/COMBIN(20,10)*100+C25</f>
        <v>73.68421052631578</v>
      </c>
      <c r="E25" s="26">
        <f>2*COMBIN(2,2)*COMBIN(1,0)*COMBIN(17,8)/COMBIN(20,10)*100+C25</f>
        <v>73.68421052631578</v>
      </c>
      <c r="F25" s="25">
        <f>2*COMBIN(2,2)*COMBIN(18,8)/COMBIN(20,10)*100</f>
        <v>47.368421052631575</v>
      </c>
      <c r="G25" s="24">
        <f>2*COMBIN(2,2)*COMBIN(18,8)/COMBIN(20,10)*100</f>
        <v>47.368421052631575</v>
      </c>
      <c r="H25" s="26">
        <f>2*COMBIN(2,2)*COMBIN(18,8)/COMBIN(20,10)*100</f>
        <v>47.368421052631575</v>
      </c>
      <c r="I25" s="38" t="s">
        <v>0</v>
      </c>
      <c r="J25" s="5" t="s">
        <v>0</v>
      </c>
      <c r="K25" s="15" t="s">
        <v>0</v>
      </c>
    </row>
    <row r="26" spans="1:11" ht="12.75">
      <c r="A26">
        <v>15</v>
      </c>
      <c r="B26" s="101" t="s">
        <v>51</v>
      </c>
      <c r="C26" s="31">
        <f>(2*COMBIN(3,3)*COMBIN(17,7)+COMBIN(2,1)*COMBIN(1,0)*COMBIN(17,9))/COMBIN(20,10)*100</f>
        <v>47.368421052631575</v>
      </c>
      <c r="D26" s="105">
        <f>2*COMBIN(2,2)*COMBIN(1,0)*COMBIN(17,8)/COMBIN(20,10)*100+C26</f>
        <v>73.68421052631578</v>
      </c>
      <c r="E26" s="46">
        <f>2*COMBIN(2,2)*COMBIN(1,0)*COMBIN(17,8)/COMBIN(20,10)*100+C26</f>
        <v>73.68421052631578</v>
      </c>
      <c r="F26" s="69" t="s">
        <v>0</v>
      </c>
      <c r="G26" s="38" t="s">
        <v>0</v>
      </c>
      <c r="H26" s="44" t="s">
        <v>0</v>
      </c>
      <c r="I26" s="106" t="s">
        <v>0</v>
      </c>
      <c r="J26" s="5" t="s">
        <v>0</v>
      </c>
      <c r="K26" s="15" t="s">
        <v>0</v>
      </c>
    </row>
    <row r="27" spans="1:11" ht="12.75">
      <c r="A27">
        <v>16</v>
      </c>
      <c r="B27" s="81" t="s">
        <v>40</v>
      </c>
      <c r="C27" s="40">
        <f>(2*COMBIN(5,5)*COMBIN(15,5)+2*COMBIN(2,2)*COMBIN(3,2)*COMBIN(15,6)+COMBIN(2,1)*COMBIN(3,2)*COMBIN(15,7)+COMBIN(2,1)*COMBIN(3,0)*COMBIN(15,9)+COMBIN(2,2)*COMBIN(3,0)*COMBIN(15,8))/COMBIN(20,10)*100</f>
        <v>49.303405572755416</v>
      </c>
      <c r="D27" s="4">
        <f>2*COMBIN(2,2)*COMBIN(3,1)*COMBIN(15,7)/COMBIN(20,10)*100+C27</f>
        <v>70.20123839009287</v>
      </c>
      <c r="E27" s="16">
        <f>COMBIN(2,1)*COMBIN(3,2)*COMBIN(15,7)/COMBIN(20,10)*100+D27</f>
        <v>91.09907120743033</v>
      </c>
      <c r="F27" s="25">
        <f>(2*COMBIN(4,4)*COMBIN(16,6)+2*COMBIN(2,2)*COMBIN(2,1)*COMBIN(16,7)+COMBIN(2,1)*COMBIN(2,2)*COMBIN(16,7))/COMBIN(20,10)*100</f>
        <v>45.82043343653251</v>
      </c>
      <c r="G27" s="24">
        <f>COMBIN(2,1)*COMBIN(2,1)*COMBIN(16,8)/COMBIN(20,10)*100+F27</f>
        <v>73.68421052631578</v>
      </c>
      <c r="H27" s="26">
        <f>2*COMBIN(2,2)*COMBIN(2,0)*COMBIN(16,8)/COMBIN(20,10)*100+G27</f>
        <v>87.61609907120742</v>
      </c>
      <c r="I27" s="25">
        <f>(2*COMBIN(3,3)*COMBIN(17,7)+COMBIN(2,1)*COMBIN(1,0)*COMBIN(17,9))/COMBIN(20,10)*100</f>
        <v>47.368421052631575</v>
      </c>
      <c r="J27" s="24">
        <f>2*COMBIN(2,2)*COMBIN(1,0)*COMBIN(17,8)/COMBIN(20,10)*100+I27</f>
        <v>73.68421052631578</v>
      </c>
      <c r="K27" s="26">
        <f>2*COMBIN(2,2)*COMBIN(1,0)*COMBIN(17,8)/COMBIN(20,10)*100+I27</f>
        <v>73.68421052631578</v>
      </c>
    </row>
    <row r="28" spans="1:12" ht="12.75">
      <c r="A28">
        <v>17</v>
      </c>
      <c r="B28" s="81" t="s">
        <v>39</v>
      </c>
      <c r="C28" s="95">
        <f>100-(2*COMBIN(3,3)*(COMBIN(3,0)*COMBIN(14,7)+COMBIN(3,1)*COMBIN(14,6))+COMBIN(3,1)*(COMBIN(3,1)*COMBIN(14,8)+COMBIN(3,2)*COMBIN(14,7)+COMBIN(3,3)*COMBIN(14,6)))/COMBIN(20,10)*100</f>
        <v>50.309597523219814</v>
      </c>
      <c r="D28" s="163">
        <f>100-(2*COMBIN(3,3)*COMBIN(3,0)*COMBIN(14,7)+COMBIN(3,1)*COMBIN(3,2)*COMBIN(14,7)+COMBIN(2,1)*COMBIN(1,0)*COMBIN(3,3)*COMBIN(14,6))/COMBIN(20,10)*100</f>
        <v>76.31578947368422</v>
      </c>
      <c r="E28" s="16">
        <f>100-(COMBIN(1,1)*COMBIN(2,1)*COMBIN(3,0)*COMBIN(14,8))/COMBIN(20,10)*100</f>
        <v>96.74922600619195</v>
      </c>
      <c r="F28" s="9">
        <f>100-(2*COMBIN(3,3)*COMBIN(2,0)*COMBIN(15,7)+COMBIN(3,1)*(COMBIN(2,1)*COMBIN(15,8)+COMBIN(2,2)*COMBIN(15,7)))/COMBIN(20,10)*100</f>
        <v>61.687306501547994</v>
      </c>
      <c r="G28" s="4">
        <f>100-COMBIN(2,1)*COMBIN(1,0)*COMBIN(2,2)*COMBIN(15,7)/COMBIN(20,10)*100</f>
        <v>93.03405572755418</v>
      </c>
      <c r="H28" s="16">
        <v>100</v>
      </c>
      <c r="I28" s="9">
        <f>100-COMBIN(3,1)*COMBIN(1,1)*COMBIN(16,8)/COMBIN(20,10)*100</f>
        <v>79.10216718266254</v>
      </c>
      <c r="J28" s="4">
        <v>100</v>
      </c>
      <c r="K28" s="16">
        <v>100</v>
      </c>
      <c r="L28" s="73"/>
    </row>
    <row r="29" spans="1:12" ht="12.75">
      <c r="A29">
        <v>18</v>
      </c>
      <c r="B29" s="81">
        <v>9</v>
      </c>
      <c r="C29" s="40">
        <f>(2*COMBIN(7,7)*COMBIN(13,3)+COMBIN(2,1)*COMBIN(18,9))/COMBIN(20,10)*100</f>
        <v>52.941176470588225</v>
      </c>
      <c r="D29" s="4">
        <f>2*COMBIN(2,2)*COMBIN(5,4)*COMBIN(13,4)/COMBIN(20,10)*100+C29</f>
        <v>56.8111455108359</v>
      </c>
      <c r="E29" s="16">
        <f>2*COMBIN(2,2)*COMBIN(5,3)*COMBIN(13,5)/COMBIN(20,10)*100+D29</f>
        <v>70.74303405572753</v>
      </c>
      <c r="F29" s="9">
        <f>(2*COMBIN(6,6)*COMBIN(14,4)+COMBIN(2,1)*COMBIN(18,9))/COMBIN(20,10)*100</f>
        <v>53.71517027863776</v>
      </c>
      <c r="G29" s="4">
        <f>2*COMBIN(2,2)*COMBIN(4,3)*COMBIN(14,5)/COMBIN(20,10)*100+F29</f>
        <v>62.383900928792556</v>
      </c>
      <c r="H29" s="17">
        <f>2*COMBIN(2,2)*COMBIN(4,2)*COMBIN(14,6)/COMBIN(20,10)*100+G29</f>
        <v>81.88854489164085</v>
      </c>
      <c r="I29" s="9">
        <f>(2*COMBIN(5,5)*COMBIN(15,5)+COMBIN(2,1)*COMBIN(18,9))/COMBIN(20,10)*100</f>
        <v>55.882352941176464</v>
      </c>
      <c r="J29" s="4">
        <f>2*COMBIN(2,2)*COMBIN(3,2)*COMBIN(15,6)/COMBIN(20,10)*100+I29</f>
        <v>72.1362229102167</v>
      </c>
      <c r="K29" s="16">
        <f>2*COMBIN(2,2)*COMBIN(3,1)*COMBIN(15,7)/COMBIN(20,10)*100+J29</f>
        <v>93.03405572755416</v>
      </c>
      <c r="L29" s="73"/>
    </row>
    <row r="30" spans="1:12" ht="12.75">
      <c r="A30">
        <v>19</v>
      </c>
      <c r="B30" s="81" t="s">
        <v>14</v>
      </c>
      <c r="C30" s="31">
        <f>2*(COMBIN(4,4)*COMBIN(16,6)+COMBIN(4,3)*COMBIN(16,7))/COMBIN(20,10)*100</f>
        <v>58.204334365325074</v>
      </c>
      <c r="D30" s="52">
        <f>2*(COMBIN(4,4)*COMBIN(16,6)+COMBIN(4,3)*COMBIN(16,7))/COMBIN(20,10)*100</f>
        <v>58.204334365325074</v>
      </c>
      <c r="E30" s="46">
        <f>2*(COMBIN(4,4)*COMBIN(16,6)+COMBIN(4,3)*COMBIN(16,7))/COMBIN(20,10)*100</f>
        <v>58.204334365325074</v>
      </c>
      <c r="F30" s="52">
        <f>2*COMBIN(3,3)*COMBIN(17,7)/COMBIN(20,10)*100</f>
        <v>21.052631578947366</v>
      </c>
      <c r="G30" s="46">
        <f>2*COMBIN(3,3)*COMBIN(17,7)/COMBIN(20,10)*100</f>
        <v>21.052631578947366</v>
      </c>
      <c r="H30" s="46">
        <f>2*COMBIN(3,3)*COMBIN(17,7)/COMBIN(20,10)*100</f>
        <v>21.052631578947366</v>
      </c>
      <c r="I30" s="110" t="s">
        <v>0</v>
      </c>
      <c r="J30" s="5" t="s">
        <v>0</v>
      </c>
      <c r="K30" s="107" t="s">
        <v>0</v>
      </c>
      <c r="L30" s="73"/>
    </row>
    <row r="31" spans="1:11" ht="12.75">
      <c r="A31">
        <v>20</v>
      </c>
      <c r="B31" s="81" t="s">
        <v>16</v>
      </c>
      <c r="C31" s="41">
        <f>(2*COMBIN(5,5)*COMBIN(15,5)+2*COMBIN(4,1)*COMBIN(1,0)*COMBIN(15,9)+COMBIN(4,2)*COMBIN(1,0)*COMBIN(15,8)+COMBIN(4,3)*COMBIN(1,0)*COMBIN(15,7))/COMBIN(20,10)*100</f>
        <v>59.75232198142415</v>
      </c>
      <c r="D31" s="6">
        <f>(2*COMBIN(1,1)*COMBIN(4,0)*COMBIN(15,9)+COMBIN(4,3)*COMBIN(1,0)*COMBIN(15,7))/COMBIN(20,10)*100+C31</f>
        <v>79.10216718266254</v>
      </c>
      <c r="E31" s="17">
        <f>(2*COMBIN(1,1)*COMBIN(4,0)*COMBIN(15,9)+COMBIN(4,3)*COMBIN(1,0)*COMBIN(15,7))/COMBIN(20,10)*100+C31</f>
        <v>79.10216718266254</v>
      </c>
      <c r="F31" s="25">
        <f>(2*COMBIN(4,4)*COMBIN(16,6)+2*COMBIN(4,1)*COMBIN(16,9))/COMBIN(20,10)*100</f>
        <v>58.204334365325074</v>
      </c>
      <c r="G31" s="24">
        <f>F31</f>
        <v>58.204334365325074</v>
      </c>
      <c r="H31" s="26">
        <f>G31</f>
        <v>58.204334365325074</v>
      </c>
      <c r="I31" s="110" t="s">
        <v>0</v>
      </c>
      <c r="J31" s="5" t="s">
        <v>0</v>
      </c>
      <c r="K31" s="107" t="s">
        <v>0</v>
      </c>
    </row>
    <row r="32" spans="1:11" ht="12.75">
      <c r="A32">
        <v>21</v>
      </c>
      <c r="B32" s="108" t="s">
        <v>38</v>
      </c>
      <c r="C32" s="55">
        <f>100-(2*COMBIN(4,4)*(COMBIN(2,0)*COMBIN(14,6)+COMBIN(2,1)*COMBIN(14,5))+COMBIN(4,1)*(COMBIN(2,1)*COMBIN(14,8)+COMBIN(2,2)*COMBIN(14,7)))/COMBIN(20,10)*100</f>
        <v>71.9814241486068</v>
      </c>
      <c r="D32" s="75">
        <f>100-(2*COMBIN(4,4)*COMBIN(2,0)*COMBIN(14,6)+COMBIN(4,1)*COMBIN(2,2)*COMBIN(14,7))/COMBIN(20,10)*100</f>
        <v>89.3188854489164</v>
      </c>
      <c r="E32" s="74">
        <v>100</v>
      </c>
      <c r="F32" s="47">
        <f>100-(2*COMBIN(4,4)*COMBIN(1,0)*COMBIN(15,6)+COMBIN(1,1)*COMBIN(4,1)*COMBIN(15,8))/COMBIN(20,10)*100</f>
        <v>80.6501547987616</v>
      </c>
      <c r="G32" s="75">
        <v>100</v>
      </c>
      <c r="H32" s="170">
        <v>100</v>
      </c>
      <c r="I32" s="50">
        <v>100</v>
      </c>
      <c r="J32" s="75">
        <v>100</v>
      </c>
      <c r="K32" s="74">
        <v>100</v>
      </c>
    </row>
    <row r="33" spans="1:11" ht="12.75">
      <c r="A33">
        <v>22</v>
      </c>
      <c r="B33" s="81" t="s">
        <v>53</v>
      </c>
      <c r="C33" s="40">
        <f>(2*COMBIN(5,5)*COMBIN(15,5)+2*COMBIN(5,4)*COMBIN(15,6)+COMBIN(4,2)*COMBIN(1,0)*COMBIN(15,8)+3*COMBIN(2,1)*COMBIN(1,1)*COMBIN(2,0)*COMBIN(15,8))/COMBIN(20,10)*100</f>
        <v>72.13622291021672</v>
      </c>
      <c r="D33" s="4">
        <f>(COMBIN(2,1)*COMBIN(1,1)*COMBIN(2,0)*COMBIN(15,8)+COMBIN(3,3)*COMBIN(2,0)*COMBIN(15,7))/COMBIN(20,10)*100+C33</f>
        <v>82.58513931888544</v>
      </c>
      <c r="E33" s="16">
        <f>COMBIN(1,1)*COMBIN(2,1)*COMBIN(2,1)*COMBIN(15,7)/COMBIN(20,10)*100+D33</f>
        <v>96.51702786377707</v>
      </c>
      <c r="F33" s="28">
        <f>2*(COMBIN(4,4)*COMBIN(16,6)+COMBIN(4,3)*COMBIN(16,7))/COMBIN(20,10)*100</f>
        <v>58.204334365325074</v>
      </c>
      <c r="G33" s="6">
        <f>COMBIN(2,1)*COMBIN(2,1)*COMBIN(16,8)/COMBIN(20,10)*100+F33</f>
        <v>86.06811145510835</v>
      </c>
      <c r="H33" s="67">
        <f>2*COMBIN(2,2)*COMBIN(2,0)*COMBIN(16,8)/COMBIN(20,10)*100+G33</f>
        <v>99.99999999999999</v>
      </c>
      <c r="I33" s="106" t="s">
        <v>0</v>
      </c>
      <c r="J33" s="5" t="s">
        <v>0</v>
      </c>
      <c r="K33" s="15" t="s">
        <v>0</v>
      </c>
    </row>
    <row r="34" spans="1:11" ht="13.5" thickBot="1">
      <c r="A34">
        <v>23</v>
      </c>
      <c r="B34" s="132">
        <v>10</v>
      </c>
      <c r="C34" s="133">
        <f>100-2*COMBIN(3,3)*(COMBIN(17,7)-COMBIN(4,4)*COMBIN(13,3))/COMBIN(20,10)*100</f>
        <v>79.25696594427245</v>
      </c>
      <c r="D34" s="134">
        <f>100-2*COMBIN(3,3)*(COMBIN(17,7)-COMBIN(4,4)*COMBIN(13,3)-COMBIN(4,3)*COMBIN(13,4))/COMBIN(20,10)*100</f>
        <v>82.35294117647058</v>
      </c>
      <c r="E34" s="135">
        <f>100-2*COMBIN(3,3)*(COMBIN(17,7)-COMBIN(4,4)*COMBIN(13,3)-COMBIN(4,3)*COMBIN(13,4)-COMBIN(4,2)*COMBIN(13,5))/COMBIN(20,10)*100</f>
        <v>90.71207430340557</v>
      </c>
      <c r="F34" s="139">
        <f>100-2*COMBIN(3,3)*(COMBIN(17,7)-COMBIN(3,3)*COMBIN(14,4))/COMBIN(20,10)*100</f>
        <v>80.03095975232198</v>
      </c>
      <c r="G34" s="137">
        <f>100-2*COMBIN(3,3)*(COMBIN(17,7)-COMBIN(3,3)*COMBIN(14,4)-COMBIN(3,2)*COMBIN(14,5))/COMBIN(20,10)*100</f>
        <v>86.53250773993808</v>
      </c>
      <c r="H34" s="138">
        <f>100-2*COMBIN(3,3)*(COMBIN(17,7)-COMBIN(3,3)*COMBIN(14,4)-COMBIN(3,2)*COMBIN(14,5)-COMBIN(3,1)*COMBIN(14,6))/COMBIN(20,10)*100</f>
        <v>96.28482972136223</v>
      </c>
      <c r="I34" s="187">
        <f>100-2*COMBIN(3,3)*(COMBIN(17,7)-COMBIN(2,2)*COMBIN(15,5))/COMBIN(20,10)*100</f>
        <v>82.19814241486068</v>
      </c>
      <c r="J34" s="137">
        <f>100-2*COMBIN(3,3)*(COMBIN(17,7)-COMBIN(2,2)*COMBIN(15,5)-COMBIN(2,1)*COMBIN(15,6))/COMBIN(20,10)*100</f>
        <v>93.03405572755418</v>
      </c>
      <c r="K34" s="138">
        <f>100-2*COMBIN(3,3)*(COMBIN(17,7)-COMBIN(2,2)*COMBIN(15,5)-COMBIN(2,1)*COMBIN(15,6)-COMBIN(2,0)*COMBIN(15,7))/COMBIN(20,10)*100</f>
        <v>100</v>
      </c>
    </row>
    <row r="35" spans="2:11" ht="12.75">
      <c r="B35" s="109"/>
      <c r="C35" s="72"/>
      <c r="D35" s="72"/>
      <c r="E35" s="72"/>
      <c r="F35" s="104"/>
      <c r="G35" s="104"/>
      <c r="H35" s="104"/>
      <c r="I35" s="104"/>
      <c r="J35" s="104"/>
      <c r="K35" s="104"/>
    </row>
    <row r="37" ht="13.5" thickBot="1">
      <c r="E37" s="7" t="s">
        <v>71</v>
      </c>
    </row>
    <row r="38" spans="2:11" ht="13.5" thickBot="1">
      <c r="B38" s="18" t="s">
        <v>30</v>
      </c>
      <c r="C38" s="219" t="s">
        <v>34</v>
      </c>
      <c r="D38" s="220"/>
      <c r="E38" s="221"/>
      <c r="F38" s="222" t="s">
        <v>35</v>
      </c>
      <c r="G38" s="211"/>
      <c r="H38" s="212"/>
      <c r="I38" s="203" t="s">
        <v>36</v>
      </c>
      <c r="J38" s="204"/>
      <c r="K38" s="205"/>
    </row>
    <row r="39" spans="2:11" ht="13.5" thickBot="1">
      <c r="B39" s="18" t="s">
        <v>27</v>
      </c>
      <c r="C39" s="56" t="s">
        <v>18</v>
      </c>
      <c r="D39" s="54" t="s">
        <v>21</v>
      </c>
      <c r="E39" s="61" t="s">
        <v>22</v>
      </c>
      <c r="F39" s="53" t="s">
        <v>19</v>
      </c>
      <c r="G39" s="27" t="s">
        <v>23</v>
      </c>
      <c r="H39" s="59" t="s">
        <v>24</v>
      </c>
      <c r="I39" s="58" t="s">
        <v>20</v>
      </c>
      <c r="J39" s="22" t="s">
        <v>25</v>
      </c>
      <c r="K39" s="23" t="s">
        <v>26</v>
      </c>
    </row>
    <row r="40" spans="2:11" ht="51.75" thickBot="1">
      <c r="B40" s="148" t="s">
        <v>1</v>
      </c>
      <c r="C40" s="48" t="s">
        <v>9</v>
      </c>
      <c r="D40" s="42" t="s">
        <v>2</v>
      </c>
      <c r="E40" s="62" t="s">
        <v>3</v>
      </c>
      <c r="F40" s="68" t="s">
        <v>10</v>
      </c>
      <c r="G40" s="2" t="s">
        <v>4</v>
      </c>
      <c r="H40" s="3" t="s">
        <v>6</v>
      </c>
      <c r="I40" s="8" t="s">
        <v>11</v>
      </c>
      <c r="J40" s="2" t="s">
        <v>7</v>
      </c>
      <c r="K40" s="3" t="s">
        <v>5</v>
      </c>
    </row>
    <row r="41" spans="1:11" ht="12.75">
      <c r="A41">
        <v>1</v>
      </c>
      <c r="B41" s="149">
        <v>8</v>
      </c>
      <c r="C41" s="146">
        <f>2*COMBIN(7,7)*COMBIN(13,3)/COMBIN(20,10)*100</f>
        <v>0.30959752321981426</v>
      </c>
      <c r="D41" s="39">
        <f>2*COMBIN(1,1)*COMBIN(6,5)*COMBIN(13,4)/COMBIN(20,10)*100+C41</f>
        <v>4.953560371517028</v>
      </c>
      <c r="E41" s="63">
        <f>2*COMBIN(1,1)*COMBIN(6,4)*COMBIN(13,5)/COMBIN(20,10)*100+D41</f>
        <v>25.85139318885449</v>
      </c>
      <c r="F41" s="47">
        <f>2*COMBIN(6,6)*COMBIN(14,4)/COMBIN(20,10)*100</f>
        <v>1.08359133126935</v>
      </c>
      <c r="G41" s="12">
        <f>2*COMBIN(1,1)*COMBIN(5,4)*COMBIN(14,5)/COMBIN(20,10)*100+F41</f>
        <v>11.91950464396285</v>
      </c>
      <c r="H41" s="60">
        <f>2*COMBIN(1,1)*COMBIN(5,3)*COMBIN(14,6)/COMBIN(20,10)*100+G41</f>
        <v>44.42724458204334</v>
      </c>
      <c r="I41" s="11">
        <f>2*COMBIN(5,5)*COMBIN(15,5)/COMBIN(20,10)*100</f>
        <v>3.2507739938080498</v>
      </c>
      <c r="J41" s="12">
        <f>2*COMBIN(1,1)*COMBIN(4,3)*COMBIN(15,6)/COMBIN(20,10)*100+I41</f>
        <v>24.922600619195048</v>
      </c>
      <c r="K41" s="13">
        <f>2*COMBIN(1,1)*COMBIN(4,2)*COMBIN(15,7)/COMBIN(20,10)*100+J41</f>
        <v>66.71826625386997</v>
      </c>
    </row>
    <row r="42" spans="1:11" ht="12.75">
      <c r="A42">
        <v>2</v>
      </c>
      <c r="B42" s="14" t="s">
        <v>17</v>
      </c>
      <c r="C42" s="95">
        <f>2*COMBIN(4,4)*COMBIN(16,6)/COMBIN(20,10)*100</f>
        <v>8.6687306501548</v>
      </c>
      <c r="D42" s="40">
        <f>2*COMBIN(4,4)*COMBIN(16,6)/COMBIN(20,10)*100</f>
        <v>8.6687306501548</v>
      </c>
      <c r="E42" s="64">
        <f>2*COMBIN(4,4)*COMBIN(16,6)/COMBIN(20,10)*100</f>
        <v>8.6687306501548</v>
      </c>
      <c r="F42" s="38" t="s">
        <v>0</v>
      </c>
      <c r="G42" s="5" t="s">
        <v>0</v>
      </c>
      <c r="H42" s="15" t="s">
        <v>0</v>
      </c>
      <c r="I42" s="38" t="s">
        <v>0</v>
      </c>
      <c r="J42" s="5" t="s">
        <v>0</v>
      </c>
      <c r="K42" s="15" t="s">
        <v>0</v>
      </c>
    </row>
    <row r="43" spans="1:11" ht="12.75">
      <c r="A43">
        <v>3</v>
      </c>
      <c r="B43" s="14" t="s">
        <v>32</v>
      </c>
      <c r="C43" s="49">
        <f>2*COMBIN(3,3)*COMBIN(17,7)/COMBIN(20,10)*100</f>
        <v>21.052631578947366</v>
      </c>
      <c r="D43" s="31">
        <f>2*COMBIN(3,3)*COMBIN(17,7)/COMBIN(20,10)*100</f>
        <v>21.052631578947366</v>
      </c>
      <c r="E43" s="66">
        <f>2*COMBIN(3,3)*COMBIN(17,7)/COMBIN(20,10)*100</f>
        <v>21.052631578947366</v>
      </c>
      <c r="F43" s="38" t="s">
        <v>0</v>
      </c>
      <c r="G43" s="5" t="s">
        <v>0</v>
      </c>
      <c r="H43" s="15" t="s">
        <v>0</v>
      </c>
      <c r="I43" s="38" t="s">
        <v>0</v>
      </c>
      <c r="J43" s="5" t="s">
        <v>0</v>
      </c>
      <c r="K43" s="15" t="s">
        <v>0</v>
      </c>
    </row>
    <row r="44" spans="1:11" ht="12.75">
      <c r="A44">
        <v>4</v>
      </c>
      <c r="B44" s="14">
        <v>710</v>
      </c>
      <c r="C44" s="95">
        <f>(2*COMBIN(6,6)*COMBIN(14,4)+COMBIN(2,1)*COMBIN(4,0)*COMBIN(14,9))/COMBIN(20,10)*100</f>
        <v>3.2507739938080498</v>
      </c>
      <c r="D44" s="40">
        <f>(2*COMBIN(2,2)*COMBIN(4,3)*COMBIN(14,5)+COMBIN(2,1)*COMBIN(4,1)*COMBIN(14,8))/COMBIN(20,10)*100+C44</f>
        <v>24.922600619195048</v>
      </c>
      <c r="E44" s="64">
        <f>(2*COMBIN(2,2)*COMBIN(4,2)*COMBIN(14,6)+COMBIN(2,1)*COMBIN(4,2)*COMBIN(14,7))/COMBIN(20,10)*100+D44</f>
        <v>66.71826625386997</v>
      </c>
      <c r="F44" s="9">
        <f>(2*COMBIN(5,5)*COMBIN(15,5)+COMBIN(2,1)*COMBIN(3,0)*COMBIN(15,9))/COMBIN(20,10)*100</f>
        <v>8.6687306501548</v>
      </c>
      <c r="G44" s="6">
        <f>(2*COMBIN(2,2)*COMBIN(3,2)*COMBIN(15,6)+COMBIN(2,1)*COMBIN(3,2)*COMBIN(15,7))/COMBIN(20,10)*100+F44</f>
        <v>45.82043343653251</v>
      </c>
      <c r="H44" s="16">
        <f>(2*COMBIN(2,2)*COMBIN(3,1)*COMBIN(15,7)+COMBIN(2,1)*COMBIN(3,2)*COMBIN(15,7))/COMBIN(20,10)*100+G44</f>
        <v>87.61609907120743</v>
      </c>
      <c r="I44" s="9">
        <f>(2*COMBIN(4,4)*COMBIN(16,6)+COMBIN(2,1)*COMBIN(2,0)*COMBIN(16,9))/COMBIN(20,10)*100</f>
        <v>21.052631578947366</v>
      </c>
      <c r="J44" s="6">
        <f>(2*COMBIN(2,2)*COMBIN(2,1)*COMBIN(16,7)+COMBIN(2,1)*COMBIN(2,1)*COMBIN(16,8))/COMBIN(20,10)*100+I44</f>
        <v>73.68421052631578</v>
      </c>
      <c r="K44" s="17">
        <f>2*COMBIN(2,2)*COMBIN(2,0)*COMBIN(16,8)/COMBIN(20,10)*100+J44</f>
        <v>87.61609907120742</v>
      </c>
    </row>
    <row r="45" spans="1:11" ht="12.75">
      <c r="A45">
        <v>5</v>
      </c>
      <c r="B45" s="14" t="s">
        <v>13</v>
      </c>
      <c r="C45" s="49">
        <f>(2*COMBIN(4,4)*COMBIN(16,6)+COMBIN(3,1)*COMBIN(1,0)*COMBIN(16,9))/COMBIN(20,10)*100</f>
        <v>27.24458204334365</v>
      </c>
      <c r="D45" s="31">
        <f>2*COMBIN(3,3)*COMBIN(1,0)*COMBIN(16,7)/COMBIN(20,10)*100+C45</f>
        <v>39.628482972136226</v>
      </c>
      <c r="E45" s="66">
        <f>2*COMBIN(3,3)*COMBIN(1,0)*COMBIN(16,7)/COMBIN(20,10)*100+C45</f>
        <v>39.628482972136226</v>
      </c>
      <c r="F45" s="25">
        <f>2*COMBIN(3,3)*COMBIN(17,7)/COMBIN(20,10)*100</f>
        <v>21.052631578947366</v>
      </c>
      <c r="G45" s="24">
        <f>2*COMBIN(3,3)*COMBIN(17,7)/COMBIN(20,10)*100</f>
        <v>21.052631578947366</v>
      </c>
      <c r="H45" s="26">
        <f>2*COMBIN(3,3)*COMBIN(17,7)/COMBIN(20,10)*100</f>
        <v>21.052631578947366</v>
      </c>
      <c r="I45" s="38" t="s">
        <v>0</v>
      </c>
      <c r="J45" s="5" t="s">
        <v>0</v>
      </c>
      <c r="K45" s="15" t="s">
        <v>0</v>
      </c>
    </row>
    <row r="46" spans="1:11" ht="12.75">
      <c r="A46">
        <v>6</v>
      </c>
      <c r="B46" s="14">
        <v>89</v>
      </c>
      <c r="C46" s="95">
        <f>2*(COMBIN(6,6)*COMBIN(14,4)+COMBIN(1,1)*COMBIN(5,4)*COMBIN(14,5))/COMBIN(20,10)*100</f>
        <v>11.91950464396285</v>
      </c>
      <c r="D46" s="40">
        <f>2*COMBIN(1,1)*COMBIN(5,3)*COMBIN(14,6)/COMBIN(20,10)*100+C46</f>
        <v>44.42724458204334</v>
      </c>
      <c r="E46" s="64">
        <f>2*COMBIN(1,1)*COMBIN(5,2)*COMBIN(14,7)/COMBIN(20,10)*100+D46</f>
        <v>81.57894736842105</v>
      </c>
      <c r="F46" s="9">
        <f>2*(COMBIN(5,5)*COMBIN(15,5)+COMBIN(1,1)*COMBIN(4,3)*COMBIN(15,6))/COMBIN(20,10)*100</f>
        <v>24.922600619195045</v>
      </c>
      <c r="G46" s="4">
        <f>2*COMBIN(1,1)*COMBIN(4,2)*COMBIN(15,7)/COMBIN(20,10)*100+F46</f>
        <v>66.71826625386996</v>
      </c>
      <c r="H46" s="16">
        <f>2*COMBIN(1,1)*COMBIN(4,1)*COMBIN(15,8)/COMBIN(20,10)*100+G46</f>
        <v>94.58204334365323</v>
      </c>
      <c r="I46" s="9">
        <f>2*(COMBIN(4,4)*COMBIN(16,6)+COMBIN(1,1)*COMBIN(3,2)*COMBIN(16,7))/COMBIN(20,10)*100</f>
        <v>45.82043343653251</v>
      </c>
      <c r="J46" s="4">
        <f>2*COMBIN(1,1)*COMBIN(3,1)*COMBIN(16,8)/COMBIN(20,10)*100+I46</f>
        <v>87.61609907120743</v>
      </c>
      <c r="K46" s="16">
        <f>2*COMBIN(1,1)*COMBIN(3,1)*COMBIN(16,8)/COMBIN(20,10)*100+I46</f>
        <v>87.61609907120743</v>
      </c>
    </row>
    <row r="47" spans="1:11" ht="12.75">
      <c r="A47">
        <v>7</v>
      </c>
      <c r="B47" s="14" t="s">
        <v>33</v>
      </c>
      <c r="C47" s="49">
        <f>2*COMBIN(2,2)*COMBIN(18,8)/COMBIN(20,10)*100</f>
        <v>47.368421052631575</v>
      </c>
      <c r="D47" s="31">
        <f>2*COMBIN(2,2)*COMBIN(18,8)/COMBIN(20,10)*100</f>
        <v>47.368421052631575</v>
      </c>
      <c r="E47" s="66">
        <f>2*COMBIN(2,2)*COMBIN(18,8)/COMBIN(20,10)*100</f>
        <v>47.368421052631575</v>
      </c>
      <c r="F47" s="38" t="s">
        <v>0</v>
      </c>
      <c r="G47" s="5" t="s">
        <v>0</v>
      </c>
      <c r="H47" s="15" t="s">
        <v>0</v>
      </c>
      <c r="I47" s="38" t="s">
        <v>0</v>
      </c>
      <c r="J47" s="5" t="s">
        <v>0</v>
      </c>
      <c r="K47" s="15" t="s">
        <v>0</v>
      </c>
    </row>
    <row r="48" spans="1:11" ht="12.75">
      <c r="A48">
        <v>8</v>
      </c>
      <c r="B48" s="102">
        <v>810</v>
      </c>
      <c r="C48" s="95">
        <f>(2*COMBIN(6,6)*COMBIN(14,4)+2*COMBIN(1,1)*COMBIN(5,4)*COMBIN(14,5)+COMBIN(1,1)*COMBIN(5,0)*COMBIN(14,9))/COMBIN(20,10)*100</f>
        <v>13.003095975232199</v>
      </c>
      <c r="D48" s="41">
        <f>(2*COMBIN(1,1)*COMBIN(5,3)*COMBIN(14,6)+COMBIN(1,1)*COMBIN(1,0)*COMBIN(4,1)*COMBIN(14,8))/COMBIN(20,10)*100+C48</f>
        <v>52.01238390092878</v>
      </c>
      <c r="E48" s="65">
        <f>2*COMBIN(1,1)*COMBIN(5,2)*COMBIN(14,7)/COMBIN(20,10)*100+D48</f>
        <v>89.1640866873065</v>
      </c>
      <c r="F48" s="9">
        <f>(2*COMBIN(5,5)*COMBIN(15,5)+2*COMBIN(1,1)*COMBIN(4,3)*COMBIN(15,6)+COMBIN(1,1)*COMBIN(4,0)*COMBIN(15,9))/COMBIN(20,10)*100</f>
        <v>27.631578947368425</v>
      </c>
      <c r="G48" s="6">
        <f>(2*COMBIN(1,1)*COMBIN(4,2)*COMBIN(15,7)+COMBIN(1,1)*COMBIN(1,0)*COMBIN(3,1)*COMBIN(15,8))/COMBIN(20,10)*100+F48</f>
        <v>79.87616099071207</v>
      </c>
      <c r="H48" s="17">
        <f>(2*COMBIN(1,1)*COMBIN(4,1)*COMBIN(15,8)-COMBIN(1,1)*COMBIN(1,0)*COMBIN(3,1)*COMBIN(15,8))/COMBIN(20,10)*100+G48</f>
        <v>97.29102167182661</v>
      </c>
      <c r="I48" s="9">
        <f>(2*COMBIN(4,4)*COMBIN(16,6)+2*COMBIN(1,1)*COMBIN(3,2)*COMBIN(16,7)+COMBIN(1,1)*COMBIN(3,0)*COMBIN(16,9))/COMBIN(20,10)*100</f>
        <v>52.012383900928796</v>
      </c>
      <c r="J48" s="6">
        <f>2*COMBIN(1,1)*COMBIN(3,1)*COMBIN(16,8)/COMBIN(20,10)*100+I48</f>
        <v>93.80804953560371</v>
      </c>
      <c r="K48" s="17">
        <f>2*COMBIN(1,1)*COMBIN(3,1)*COMBIN(16,8)/COMBIN(20,10)*100+I48</f>
        <v>93.80804953560371</v>
      </c>
    </row>
    <row r="49" spans="1:11" ht="12.75">
      <c r="A49">
        <v>9</v>
      </c>
      <c r="B49" s="102" t="s">
        <v>8</v>
      </c>
      <c r="C49" s="95">
        <f>(2*COMBIN(5,5)*COMBIN(15,5)+COMBIN(3,1)*COMBIN(2,0)*COMBIN(15,9)+COMBIN(3,2)*COMBIN(2,0)*COMBIN(15,8))/COMBIN(20,10)*100</f>
        <v>21.826625386996902</v>
      </c>
      <c r="D49" s="40">
        <f>(2*COMBIN(3,3)*COMBIN(2,1)*COMBIN(15,6)+COMBIN(3,1)*COMBIN(2,1)*COMBIN(15,8))/COMBIN(20,10)*100+C49</f>
        <v>53.56037151702786</v>
      </c>
      <c r="E49" s="64">
        <f>2*COMBIN(3,3)*COMBIN(2,0)*COMBIN(15,7)/COMBIN(20,10)*100+D49</f>
        <v>60.52631578947368</v>
      </c>
      <c r="F49" s="25">
        <f>(2*COMBIN(4,4)*COMBIN(16,6)+COMBIN(3,1)*COMBIN(1,0)*COMBIN(16,9))/COMBIN(20,10)*100</f>
        <v>27.24458204334365</v>
      </c>
      <c r="G49" s="24">
        <f>2*COMBIN(3,3)*COMBIN(1,0)*COMBIN(16,7)/COMBIN(20,10)*100+F49</f>
        <v>39.628482972136226</v>
      </c>
      <c r="H49" s="26">
        <f>2*COMBIN(3,3)*COMBIN(1,0)*COMBIN(16,7)/COMBIN(20,10)*100+F49</f>
        <v>39.628482972136226</v>
      </c>
      <c r="I49" s="25">
        <f>2*COMBIN(3,3)*COMBIN(17,7)/COMBIN(20,10)*100</f>
        <v>21.052631578947366</v>
      </c>
      <c r="J49" s="24">
        <f>I49</f>
        <v>21.052631578947366</v>
      </c>
      <c r="K49" s="26">
        <f>I49</f>
        <v>21.052631578947366</v>
      </c>
    </row>
    <row r="50" spans="1:11" ht="12.75">
      <c r="A50">
        <v>10</v>
      </c>
      <c r="B50" s="102">
        <v>9</v>
      </c>
      <c r="C50" s="95">
        <f>(2*COMBIN(7,7)*COMBIN(13,3)+COMBIN(2,1)*COMBIN(18,9))/COMBIN(20,10)*100</f>
        <v>52.941176470588225</v>
      </c>
      <c r="D50" s="40">
        <f>2*COMBIN(2,2)*COMBIN(5,4)*COMBIN(13,4)/COMBIN(20,10)*100+C50</f>
        <v>56.8111455108359</v>
      </c>
      <c r="E50" s="64">
        <f>2*COMBIN(2,2)*COMBIN(5,3)*COMBIN(13,5)/COMBIN(20,10)*100+D50</f>
        <v>70.74303405572753</v>
      </c>
      <c r="F50" s="9">
        <f>(2*COMBIN(6,6)*COMBIN(14,4)+COMBIN(2,1)*COMBIN(18,9))/COMBIN(20,10)*100</f>
        <v>53.71517027863776</v>
      </c>
      <c r="G50" s="4">
        <f>2*COMBIN(2,2)*COMBIN(4,3)*COMBIN(14,5)/COMBIN(20,10)*100+F50</f>
        <v>62.383900928792556</v>
      </c>
      <c r="H50" s="17">
        <f>2*COMBIN(2,2)*COMBIN(4,2)*COMBIN(14,6)/COMBIN(20,10)*100+G50</f>
        <v>81.88854489164085</v>
      </c>
      <c r="I50" s="9">
        <f>(2*COMBIN(5,5)*COMBIN(15,5)+COMBIN(2,1)*COMBIN(18,9))/COMBIN(20,10)*100</f>
        <v>55.882352941176464</v>
      </c>
      <c r="J50" s="4">
        <f>2*COMBIN(2,2)*COMBIN(3,2)*COMBIN(15,6)/COMBIN(20,10)*100+I50</f>
        <v>72.1362229102167</v>
      </c>
      <c r="K50" s="16">
        <f>2*COMBIN(2,2)*COMBIN(3,1)*COMBIN(15,7)/COMBIN(20,10)*100+J50</f>
        <v>93.03405572755416</v>
      </c>
    </row>
    <row r="51" spans="1:11" ht="12.75">
      <c r="A51">
        <v>11</v>
      </c>
      <c r="B51" s="102" t="s">
        <v>14</v>
      </c>
      <c r="C51" s="49">
        <f>2*(COMBIN(4,4)*COMBIN(16,6)+COMBIN(4,3)*COMBIN(16,7))/COMBIN(20,10)*100</f>
        <v>58.204334365325074</v>
      </c>
      <c r="D51" s="31">
        <f>2*(COMBIN(4,4)*COMBIN(16,6)+COMBIN(4,3)*COMBIN(16,7))/COMBIN(20,10)*100</f>
        <v>58.204334365325074</v>
      </c>
      <c r="E51" s="66">
        <f>2*(COMBIN(4,4)*COMBIN(16,6)+COMBIN(4,3)*COMBIN(16,7))/COMBIN(20,10)*100</f>
        <v>58.204334365325074</v>
      </c>
      <c r="F51" s="25">
        <f>2*COMBIN(3,3)*COMBIN(17,7)/COMBIN(20,10)*100</f>
        <v>21.052631578947366</v>
      </c>
      <c r="G51" s="24">
        <f>2*COMBIN(3,3)*COMBIN(17,7)/COMBIN(20,10)*100</f>
        <v>21.052631578947366</v>
      </c>
      <c r="H51" s="26">
        <f>2*COMBIN(3,3)*COMBIN(17,7)/COMBIN(20,10)*100</f>
        <v>21.052631578947366</v>
      </c>
      <c r="I51" s="120" t="s">
        <v>0</v>
      </c>
      <c r="J51" s="5" t="s">
        <v>0</v>
      </c>
      <c r="K51" s="15" t="s">
        <v>0</v>
      </c>
    </row>
    <row r="52" spans="1:11" ht="12.75">
      <c r="A52">
        <v>12</v>
      </c>
      <c r="B52" s="102" t="s">
        <v>12</v>
      </c>
      <c r="C52" s="95">
        <f>100-(2*COMBIN(3,3)*(COMBIN(17,7)-COMBIN(3,3)*COMBIN(14,4))+COMBIN(3,1)*(COMBIN(17,9)-COMBIN(3,0)*COMBIN(14,9)))/COMBIN(20,10)*100</f>
        <v>43.80804953560371</v>
      </c>
      <c r="D52" s="40">
        <f>(2*COMBIN(3,3)*COMBIN(3,2)*COMBIN(14,5)+COMBIN(3,1)*COMBIN(3,1)*COMBIN(14,8))/COMBIN(20,10)*100+C52</f>
        <v>64.93808049535603</v>
      </c>
      <c r="E52" s="64">
        <f>(2*COMBIN(3,3)*COMBIN(3,1)*COMBIN(14,6)+COMBIN(3,1)*COMBIN(3,2)*COMBIN(14,7))/COMBIN(20,10)*100+D52</f>
        <v>91.40866873065015</v>
      </c>
      <c r="F52" s="9">
        <f>100-(2*COMBIN(3,3)*(COMBIN(2,0)*COMBIN(15,7)+COMBIN(2,1)*COMBIN(15,6))+COMBIN(3,1)*(COMBIN(2,1)*COMBIN(15,8)+COMBIN(2,2)*COMBIN(15,7)))/COMBIN(20,10)*100</f>
        <v>50.8513931888545</v>
      </c>
      <c r="G52" s="4">
        <f>(2*COMBIN(3,3)*COMBIN(2,1)*COMBIN(15,6)+COMBIN(3,1)*COMBIN(2,1)*COMBIN(15,8))/COMBIN(20,10)*100+F52</f>
        <v>82.58513931888545</v>
      </c>
      <c r="H52" s="16">
        <f>(2*COMBIN(3,3)*COMBIN(2,0)*COMBIN(15,7)+COMBIN(3,1)*COMBIN(2,2)*COMBIN(15,7))/COMBIN(20,10)*100+G52</f>
        <v>100</v>
      </c>
      <c r="I52" s="9">
        <f>100-(2*COMBIN(3,3)*COMBIN(1,0)*COMBIN(16,7)+COMBIN(3,1)*COMBIN(1,1)*COMBIN(16,8))/COMBIN(20,10)*100</f>
        <v>66.71826625386997</v>
      </c>
      <c r="J52" s="4">
        <v>100</v>
      </c>
      <c r="K52" s="16">
        <v>100</v>
      </c>
    </row>
    <row r="53" spans="1:11" ht="12.75">
      <c r="A53">
        <v>13</v>
      </c>
      <c r="B53" s="102" t="s">
        <v>15</v>
      </c>
      <c r="C53" s="95">
        <f>(2*COMBIN(5,5)*COMBIN(15,5)+2*COMBIN(2,2)*COMBIN(3,2)*COMBIN(15,6)+COMBIN(2,1)*COMBIN(3,2)*COMBIN(15,7)+COMBIN(2,1)*COMBIN(3,0)*COMBIN(15,9))/COMBIN(20,10)*100</f>
        <v>45.82043343653251</v>
      </c>
      <c r="D53" s="40">
        <f>2*COMBIN(2,2)*COMBIN(3,1)*COMBIN(15,7)/COMBIN(20,10)*100+C53</f>
        <v>66.71826625386997</v>
      </c>
      <c r="E53" s="64">
        <f>COMBIN(2,1)*COMBIN(3,2)*COMBIN(15,7)/COMBIN(20,10)*100+D53</f>
        <v>87.61609907120743</v>
      </c>
      <c r="F53" s="25">
        <f>(2*COMBIN(4,4)*COMBIN(16,6)+2*COMBIN(2,2)*COMBIN(2,1)*COMBIN(16,7)+COMBIN(2,1)*COMBIN(2,2)*COMBIN(16,7))/COMBIN(20,10)*100</f>
        <v>45.82043343653251</v>
      </c>
      <c r="G53" s="24">
        <f>COMBIN(2,1)*COMBIN(2,1)*COMBIN(16,8)/COMBIN(20,10)*100+F53</f>
        <v>73.68421052631578</v>
      </c>
      <c r="H53" s="26">
        <f>2*COMBIN(2,2)*COMBIN(2,0)*COMBIN(16,8)/COMBIN(20,10)*100+G53</f>
        <v>87.61609907120742</v>
      </c>
      <c r="I53" s="25">
        <f>(2*COMBIN(3,3)*COMBIN(17,7)+COMBIN(2,1)*COMBIN(1,0)*COMBIN(17,9))/COMBIN(20,10)*100</f>
        <v>47.368421052631575</v>
      </c>
      <c r="J53" s="24">
        <f>2*COMBIN(2,2)*COMBIN(1,0)*COMBIN(17,8)/COMBIN(20,10)*100+I53</f>
        <v>73.68421052631578</v>
      </c>
      <c r="K53" s="26">
        <f>2*COMBIN(2,2)*COMBIN(1,0)*COMBIN(17,8)/COMBIN(20,10)*100+I53</f>
        <v>73.68421052631578</v>
      </c>
    </row>
    <row r="54" spans="1:11" ht="12.75">
      <c r="A54">
        <v>14</v>
      </c>
      <c r="B54" s="102" t="s">
        <v>40</v>
      </c>
      <c r="C54" s="95">
        <f>(2*COMBIN(5,5)*COMBIN(15,5)+2*COMBIN(2,2)*COMBIN(3,2)*COMBIN(15,6)+COMBIN(2,1)*COMBIN(3,2)*COMBIN(15,7)+COMBIN(2,1)*COMBIN(3,0)*COMBIN(15,9)+COMBIN(2,2)*COMBIN(3,0)*COMBIN(15,8))/COMBIN(20,10)*100</f>
        <v>49.303405572755416</v>
      </c>
      <c r="D54" s="40">
        <f>2*COMBIN(2,2)*COMBIN(3,1)*COMBIN(15,7)/COMBIN(20,10)*100+C54</f>
        <v>70.20123839009287</v>
      </c>
      <c r="E54" s="64">
        <f>COMBIN(2,1)*COMBIN(3,2)*COMBIN(15,7)/COMBIN(20,10)*100+D54</f>
        <v>91.09907120743033</v>
      </c>
      <c r="F54" s="25">
        <f>(2*COMBIN(4,4)*COMBIN(16,6)+2*COMBIN(2,2)*COMBIN(2,1)*COMBIN(16,7)+COMBIN(2,1)*COMBIN(2,2)*COMBIN(16,7))/COMBIN(20,10)*100</f>
        <v>45.82043343653251</v>
      </c>
      <c r="G54" s="24">
        <f>COMBIN(2,1)*COMBIN(2,1)*COMBIN(16,8)/COMBIN(20,10)*100+F54</f>
        <v>73.68421052631578</v>
      </c>
      <c r="H54" s="26">
        <f>2*COMBIN(2,2)*COMBIN(2,0)*COMBIN(16,8)/COMBIN(20,10)*100+G54</f>
        <v>87.61609907120742</v>
      </c>
      <c r="I54" s="25">
        <f>(2*COMBIN(3,3)*COMBIN(17,7)+COMBIN(2,1)*COMBIN(1,0)*COMBIN(17,9))/COMBIN(20,10)*100</f>
        <v>47.368421052631575</v>
      </c>
      <c r="J54" s="24">
        <f>2*COMBIN(2,2)*COMBIN(1,0)*COMBIN(17,8)/COMBIN(20,10)*100+I54</f>
        <v>73.68421052631578</v>
      </c>
      <c r="K54" s="26">
        <f>2*COMBIN(2,2)*COMBIN(1,0)*COMBIN(17,8)/COMBIN(20,10)*100+I54</f>
        <v>73.68421052631578</v>
      </c>
    </row>
    <row r="55" spans="1:12" ht="12.75">
      <c r="A55">
        <v>15</v>
      </c>
      <c r="B55" s="102" t="s">
        <v>28</v>
      </c>
      <c r="C55" s="49">
        <f>(2*COMBIN(4,4)*COMBIN(16,6)+2*COMBIN(2,2)*COMBIN(2,1)*COMBIN(16,7)+COMBIN(2,1)*COMBIN(2,0)*COMBIN(16,9))/COMBIN(20,10)*100</f>
        <v>45.82043343653251</v>
      </c>
      <c r="D55" s="31">
        <f>COMBIN(2,1)*COMBIN(2,1)*COMBIN(16,8)/COMBIN(20,10)*100+C55</f>
        <v>73.68421052631578</v>
      </c>
      <c r="E55" s="143">
        <f>2*COMBIN(2,2)*COMBIN(2,0)*COMBIN(16,8)/COMBIN(20,10)*100+D55</f>
        <v>87.61609907120742</v>
      </c>
      <c r="F55" s="52">
        <f>(2*COMBIN(3,3)*COMBIN(17,7)+COMBIN(2,1)*COMBIN(1,0)*COMBIN(17,9))/COMBIN(20,10)*100</f>
        <v>47.368421052631575</v>
      </c>
      <c r="G55" s="25">
        <f>2*COMBIN(2,2)*COMBIN(1,0)*COMBIN(17,8)/COMBIN(20,10)*100+F55</f>
        <v>73.68421052631578</v>
      </c>
      <c r="H55" s="46">
        <f>2*COMBIN(2,2)*COMBIN(1,0)*COMBIN(17,8)/COMBIN(20,10)*100+I55</f>
        <v>73.68421052631578</v>
      </c>
      <c r="I55" s="141">
        <f>2*COMBIN(2,2)*COMBIN(18,8)/COMBIN(20,10)*100</f>
        <v>47.368421052631575</v>
      </c>
      <c r="J55" s="24">
        <f>2*COMBIN(2,2)*COMBIN(18,8)/COMBIN(20,10)*100</f>
        <v>47.368421052631575</v>
      </c>
      <c r="K55" s="26">
        <f>2*COMBIN(2,2)*COMBIN(18,8)/COMBIN(20,10)*100</f>
        <v>47.368421052631575</v>
      </c>
      <c r="L55" s="71"/>
    </row>
    <row r="56" spans="1:12" ht="12.75">
      <c r="A56">
        <v>16</v>
      </c>
      <c r="B56" s="102" t="s">
        <v>50</v>
      </c>
      <c r="C56" s="49">
        <f>(2*COMBIN(4,4)*COMBIN(16,6)+2*COMBIN(2,2)*COMBIN(2,1)*COMBIN(16,7)+COMBIN(2,1)*COMBIN(2,0)*COMBIN(16,9))/COMBIN(20,10)*100</f>
        <v>45.82043343653251</v>
      </c>
      <c r="D56" s="31">
        <f>COMBIN(2,1)*COMBIN(2,1)*COMBIN(16,8)/COMBIN(20,10)*100+C56</f>
        <v>73.68421052631578</v>
      </c>
      <c r="E56" s="66">
        <f>2*COMBIN(2,2)*COMBIN(2,0)*COMBIN(16,8)/COMBIN(20,10)*100+D56</f>
        <v>87.61609907120742</v>
      </c>
      <c r="F56" s="25">
        <f>(2*COMBIN(3,3)*COMBIN(17,7)+COMBIN(2,1)*COMBIN(1,0)*COMBIN(17,9))/COMBIN(20,10)*100</f>
        <v>47.368421052631575</v>
      </c>
      <c r="G56" s="24">
        <f>2*COMBIN(2,2)*COMBIN(1,0)*COMBIN(17,8)/COMBIN(20,10)*100+F56</f>
        <v>73.68421052631578</v>
      </c>
      <c r="H56" s="26">
        <f>2*COMBIN(2,2)*COMBIN(1,0)*COMBIN(17,8)/COMBIN(20,10)*100+F56</f>
        <v>73.68421052631578</v>
      </c>
      <c r="I56" s="38" t="s">
        <v>0</v>
      </c>
      <c r="J56" s="5" t="s">
        <v>0</v>
      </c>
      <c r="K56" s="15" t="s">
        <v>0</v>
      </c>
      <c r="L56" s="73"/>
    </row>
    <row r="57" spans="1:11" ht="12.75">
      <c r="A57">
        <v>17</v>
      </c>
      <c r="B57" s="102" t="s">
        <v>31</v>
      </c>
      <c r="C57" s="49">
        <f>(2*COMBIN(3,3)*COMBIN(17,7)+COMBIN(2,1)*COMBIN(1,0)*COMBIN(17,9))/COMBIN(20,10)*100</f>
        <v>47.368421052631575</v>
      </c>
      <c r="D57" s="31">
        <f>2*COMBIN(2,2)*COMBIN(1,0)*COMBIN(17,8)/COMBIN(20,10)*100+C57</f>
        <v>73.68421052631578</v>
      </c>
      <c r="E57" s="66">
        <f>2*COMBIN(2,2)*COMBIN(1,0)*COMBIN(17,8)/COMBIN(20,10)*100+C57</f>
        <v>73.68421052631578</v>
      </c>
      <c r="F57" s="25">
        <f>2*COMBIN(2,2)*COMBIN(18,8)/COMBIN(20,10)*100</f>
        <v>47.368421052631575</v>
      </c>
      <c r="G57" s="24">
        <f>2*COMBIN(2,2)*COMBIN(18,8)/COMBIN(20,10)*100</f>
        <v>47.368421052631575</v>
      </c>
      <c r="H57" s="26">
        <f>2*COMBIN(2,2)*COMBIN(18,8)/COMBIN(20,10)*100</f>
        <v>47.368421052631575</v>
      </c>
      <c r="I57" s="38" t="s">
        <v>0</v>
      </c>
      <c r="J57" s="5" t="s">
        <v>0</v>
      </c>
      <c r="K57" s="15" t="s">
        <v>0</v>
      </c>
    </row>
    <row r="58" spans="1:11" ht="12.75">
      <c r="A58">
        <v>18</v>
      </c>
      <c r="B58" s="102" t="s">
        <v>51</v>
      </c>
      <c r="C58" s="49">
        <f>(2*COMBIN(3,3)*COMBIN(17,7)+COMBIN(2,1)*COMBIN(1,0)*COMBIN(17,9))/COMBIN(20,10)*100</f>
        <v>47.368421052631575</v>
      </c>
      <c r="D58" s="31">
        <f>2*COMBIN(2,2)*COMBIN(1,0)*COMBIN(17,8)/COMBIN(20,10)*100+C58</f>
        <v>73.68421052631578</v>
      </c>
      <c r="E58" s="66">
        <f>2*COMBIN(2,2)*COMBIN(1,0)*COMBIN(17,8)/COMBIN(20,10)*100+C58</f>
        <v>73.68421052631578</v>
      </c>
      <c r="F58" s="38" t="s">
        <v>0</v>
      </c>
      <c r="G58" s="5" t="s">
        <v>0</v>
      </c>
      <c r="H58" s="15" t="s">
        <v>0</v>
      </c>
      <c r="I58" s="38" t="s">
        <v>0</v>
      </c>
      <c r="J58" s="5" t="s">
        <v>0</v>
      </c>
      <c r="K58" s="15" t="s">
        <v>0</v>
      </c>
    </row>
    <row r="59" spans="1:11" ht="12.75">
      <c r="A59">
        <v>19</v>
      </c>
      <c r="B59" s="102" t="s">
        <v>39</v>
      </c>
      <c r="C59" s="95">
        <f>100-(2*COMBIN(3,3)*(COMBIN(3,0)*COMBIN(14,7)+COMBIN(3,1)*COMBIN(14,6))+COMBIN(3,1)*(COMBIN(3,1)*COMBIN(14,8)+COMBIN(3,2)*COMBIN(14,7)+COMBIN(3,3)*COMBIN(14,6)))/COMBIN(20,10)*100</f>
        <v>50.309597523219814</v>
      </c>
      <c r="D59" s="40">
        <f>100-(2*COMBIN(3,3)*COMBIN(3,0)*COMBIN(14,7)+COMBIN(3,1)*COMBIN(3,2)*COMBIN(14,7)+COMBIN(2,1)*COMBIN(1,0)*COMBIN(3,3)*COMBIN(14,6))/COMBIN(20,10)*100</f>
        <v>76.31578947368422</v>
      </c>
      <c r="E59" s="144">
        <f>100-(COMBIN(1,1)*COMBIN(2,1)*COMBIN(3,0)*COMBIN(14,8))/COMBIN(20,10)*100</f>
        <v>96.74922600619195</v>
      </c>
      <c r="F59" s="50">
        <f>100-(2*COMBIN(3,3)*COMBIN(2,0)*COMBIN(15,7)+COMBIN(3,1)*(COMBIN(2,1)*COMBIN(15,8)+COMBIN(2,2)*COMBIN(15,7)))/COMBIN(20,10)*100</f>
        <v>61.687306501547994</v>
      </c>
      <c r="G59" s="45">
        <f>100-COMBIN(2,1)*COMBIN(1,0)*COMBIN(2,2)*COMBIN(15,7)/COMBIN(20,10)*100</f>
        <v>93.03405572755418</v>
      </c>
      <c r="H59" s="45">
        <v>100</v>
      </c>
      <c r="I59" s="50">
        <f>100-COMBIN(3,1)*COMBIN(1,1)*COMBIN(16,8)/COMBIN(20,10)*100</f>
        <v>79.10216718266254</v>
      </c>
      <c r="J59" s="4">
        <v>100</v>
      </c>
      <c r="K59" s="64">
        <v>100</v>
      </c>
    </row>
    <row r="60" spans="1:11" ht="12.75">
      <c r="A60">
        <v>20</v>
      </c>
      <c r="B60" s="102" t="s">
        <v>16</v>
      </c>
      <c r="C60" s="77">
        <f>(2*COMBIN(5,5)*COMBIN(15,5)+2*COMBIN(4,1)*COMBIN(1,0)*COMBIN(15,9)+COMBIN(4,2)*COMBIN(1,0)*COMBIN(15,8)+COMBIN(4,3)*COMBIN(1,0)*COMBIN(15,7))/COMBIN(20,10)*100</f>
        <v>59.75232198142415</v>
      </c>
      <c r="D60" s="41">
        <f>(2*COMBIN(1,1)*COMBIN(4,0)*COMBIN(15,9)+COMBIN(4,3)*COMBIN(1,0)*COMBIN(15,7))/COMBIN(20,10)*100+C60</f>
        <v>79.10216718266254</v>
      </c>
      <c r="E60" s="123">
        <f>(2*COMBIN(1,1)*COMBIN(4,0)*COMBIN(15,9)+COMBIN(4,3)*COMBIN(1,0)*COMBIN(15,7))/COMBIN(20,10)*100+C60</f>
        <v>79.10216718266254</v>
      </c>
      <c r="F60" s="52">
        <f>(2*COMBIN(4,4)*COMBIN(16,6)+2*COMBIN(4,1)*COMBIN(16,9))/COMBIN(20,10)*100</f>
        <v>58.204334365325074</v>
      </c>
      <c r="G60" s="24">
        <f>F60</f>
        <v>58.204334365325074</v>
      </c>
      <c r="H60" s="26">
        <f>G60</f>
        <v>58.204334365325074</v>
      </c>
      <c r="I60" s="110" t="s">
        <v>0</v>
      </c>
      <c r="J60" s="5" t="s">
        <v>0</v>
      </c>
      <c r="K60" s="107" t="s">
        <v>0</v>
      </c>
    </row>
    <row r="61" spans="1:11" ht="12.75">
      <c r="A61">
        <v>21</v>
      </c>
      <c r="B61" s="116">
        <v>10</v>
      </c>
      <c r="C61" s="112">
        <f>100-2*COMBIN(3,3)*(COMBIN(17,7)-COMBIN(4,4)*COMBIN(13,3))/COMBIN(20,10)*100</f>
        <v>79.25696594427245</v>
      </c>
      <c r="D61" s="55">
        <f>100-2*COMBIN(3,3)*(COMBIN(17,7)-COMBIN(4,4)*COMBIN(13,3)-COMBIN(4,3)*COMBIN(13,4))/COMBIN(20,10)*100</f>
        <v>82.35294117647058</v>
      </c>
      <c r="E61" s="111">
        <f>100-2*COMBIN(3,3)*(COMBIN(17,7)-COMBIN(4,4)*COMBIN(13,3)-COMBIN(4,3)*COMBIN(13,4)-COMBIN(4,2)*COMBIN(13,5))/COMBIN(20,10)*100</f>
        <v>90.71207430340557</v>
      </c>
      <c r="F61" s="47">
        <f>100-2*COMBIN(3,3)*(COMBIN(17,7)-COMBIN(3,3)*COMBIN(14,4))/COMBIN(20,10)*100</f>
        <v>80.03095975232198</v>
      </c>
      <c r="G61" s="75">
        <f>100-2*COMBIN(3,3)*(COMBIN(17,7)-COMBIN(3,3)*COMBIN(14,4)-COMBIN(3,2)*COMBIN(14,5))/COMBIN(20,10)*100</f>
        <v>86.53250773993808</v>
      </c>
      <c r="H61" s="170">
        <f>100-2*COMBIN(3,3)*(COMBIN(17,7)-COMBIN(3,3)*COMBIN(14,4)-COMBIN(3,2)*COMBIN(14,5)-COMBIN(3,1)*COMBIN(14,6))/COMBIN(20,10)*100</f>
        <v>96.28482972136223</v>
      </c>
      <c r="I61" s="126">
        <f>100-2*COMBIN(3,3)*(COMBIN(17,7)-COMBIN(2,2)*COMBIN(15,5))/COMBIN(20,10)*100</f>
        <v>82.19814241486068</v>
      </c>
      <c r="J61" s="6">
        <f>100-2*COMBIN(3,3)*(COMBIN(17,7)-COMBIN(2,2)*COMBIN(15,5)-COMBIN(2,1)*COMBIN(15,6))/COMBIN(20,10)*100</f>
        <v>93.03405572755418</v>
      </c>
      <c r="K61" s="17">
        <f>100-2*COMBIN(3,3)*(COMBIN(17,7)-COMBIN(2,2)*COMBIN(15,5)-COMBIN(2,1)*COMBIN(15,6)-COMBIN(2,0)*COMBIN(15,7))/COMBIN(20,10)*100</f>
        <v>100</v>
      </c>
    </row>
    <row r="62" spans="1:11" ht="12.75">
      <c r="A62">
        <v>22</v>
      </c>
      <c r="B62" s="102" t="s">
        <v>53</v>
      </c>
      <c r="C62" s="95">
        <f>(2*COMBIN(5,5)*COMBIN(15,5)+2*COMBIN(5,4)*COMBIN(15,6)+COMBIN(4,2)*COMBIN(1,0)*COMBIN(15,8)+3*COMBIN(2,1)*COMBIN(1,1)*COMBIN(2,0)*COMBIN(15,8))/COMBIN(20,10)*100</f>
        <v>72.13622291021672</v>
      </c>
      <c r="D62" s="40">
        <f>(COMBIN(2,1)*COMBIN(1,1)*COMBIN(2,0)*COMBIN(15,8)+COMBIN(3,3)*COMBIN(2,0)*COMBIN(15,7))/COMBIN(20,10)*100+C62</f>
        <v>82.58513931888544</v>
      </c>
      <c r="E62" s="64">
        <f>COMBIN(1,1)*COMBIN(2,1)*COMBIN(2,1)*COMBIN(15,7)/COMBIN(20,10)*100+D62</f>
        <v>96.51702786377707</v>
      </c>
      <c r="F62" s="28">
        <f>2*(COMBIN(4,4)*COMBIN(16,6)+COMBIN(4,3)*COMBIN(16,7))/COMBIN(20,10)*100</f>
        <v>58.204334365325074</v>
      </c>
      <c r="G62" s="6">
        <f>COMBIN(2,1)*COMBIN(2,1)*COMBIN(16,8)/COMBIN(20,10)*100+F62</f>
        <v>86.06811145510835</v>
      </c>
      <c r="H62" s="17">
        <f>2*COMBIN(2,2)*COMBIN(2,0)*COMBIN(16,8)/COMBIN(20,10)*100+G62</f>
        <v>99.99999999999999</v>
      </c>
      <c r="I62" s="38" t="s">
        <v>0</v>
      </c>
      <c r="J62" s="5" t="s">
        <v>0</v>
      </c>
      <c r="K62" s="15" t="s">
        <v>0</v>
      </c>
    </row>
    <row r="63" spans="1:11" ht="13.5" thickBot="1">
      <c r="A63">
        <v>23</v>
      </c>
      <c r="B63" s="160" t="s">
        <v>38</v>
      </c>
      <c r="C63" s="147">
        <f>100-(2*COMBIN(4,4)*(COMBIN(2,0)*COMBIN(14,6)+COMBIN(2,1)*COMBIN(14,5))+COMBIN(4,1)*(COMBIN(2,1)*COMBIN(14,8)+COMBIN(2,2)*COMBIN(14,7)))/COMBIN(20,10)*100</f>
        <v>71.9814241486068</v>
      </c>
      <c r="D63" s="133">
        <f>100-(2*COMBIN(4,4)*COMBIN(2,0)*COMBIN(14,6)+COMBIN(4,1)*COMBIN(2,2)*COMBIN(14,7))/COMBIN(20,10)*100</f>
        <v>89.3188854489164</v>
      </c>
      <c r="E63" s="145">
        <v>100</v>
      </c>
      <c r="F63" s="139">
        <f>100-(2*COMBIN(4,4)*COMBIN(1,0)*COMBIN(15,6)+COMBIN(1,1)*COMBIN(4,1)*COMBIN(15,8))/COMBIN(20,10)*100</f>
        <v>80.6501547987616</v>
      </c>
      <c r="G63" s="134">
        <v>100</v>
      </c>
      <c r="H63" s="135">
        <v>100</v>
      </c>
      <c r="I63" s="140">
        <v>100</v>
      </c>
      <c r="J63" s="134">
        <v>100</v>
      </c>
      <c r="K63" s="135">
        <v>100</v>
      </c>
    </row>
    <row r="66" spans="3:9" ht="13.5" thickBot="1">
      <c r="C66" s="7" t="s">
        <v>72</v>
      </c>
      <c r="I66" s="184"/>
    </row>
    <row r="67" spans="2:11" ht="13.5" thickBot="1">
      <c r="B67" s="18" t="s">
        <v>30</v>
      </c>
      <c r="C67" s="213" t="s">
        <v>34</v>
      </c>
      <c r="D67" s="214"/>
      <c r="E67" s="214"/>
      <c r="F67" s="215"/>
      <c r="H67" s="178" t="s">
        <v>77</v>
      </c>
      <c r="I67" s="178"/>
      <c r="J67" s="178"/>
      <c r="K67" s="178"/>
    </row>
    <row r="68" spans="2:11" ht="13.5" thickBot="1">
      <c r="B68" s="131" t="s">
        <v>27</v>
      </c>
      <c r="C68" s="152" t="s">
        <v>18</v>
      </c>
      <c r="D68" s="21" t="s">
        <v>21</v>
      </c>
      <c r="E68" s="151" t="s">
        <v>22</v>
      </c>
      <c r="F68" s="197" t="s">
        <v>54</v>
      </c>
      <c r="H68" s="35" t="s">
        <v>27</v>
      </c>
      <c r="I68" s="33" t="s">
        <v>66</v>
      </c>
      <c r="J68" s="53" t="s">
        <v>67</v>
      </c>
      <c r="K68" s="23" t="s">
        <v>68</v>
      </c>
    </row>
    <row r="69" spans="2:11" ht="39" thickBot="1">
      <c r="B69" s="150" t="s">
        <v>1</v>
      </c>
      <c r="C69" s="97" t="s">
        <v>9</v>
      </c>
      <c r="D69" s="142" t="s">
        <v>2</v>
      </c>
      <c r="E69" s="158" t="s">
        <v>3</v>
      </c>
      <c r="F69" s="194" t="s">
        <v>55</v>
      </c>
      <c r="H69" s="35" t="s">
        <v>1</v>
      </c>
      <c r="I69" s="43" t="s">
        <v>63</v>
      </c>
      <c r="J69" s="8" t="s">
        <v>64</v>
      </c>
      <c r="K69" s="3" t="s">
        <v>65</v>
      </c>
    </row>
    <row r="70" spans="1:11" ht="12.75">
      <c r="A70">
        <v>1</v>
      </c>
      <c r="B70" s="70" t="s">
        <v>8</v>
      </c>
      <c r="C70" s="50">
        <f>(2*COMBIN(5,5)*COMBIN(15,5)+COMBIN(3,1)*COMBIN(2,0)*COMBIN(15,9)+COMBIN(3,2)*COMBIN(2,0)*COMBIN(15,8))/COMBIN(20,10)*100</f>
        <v>21.826625386996902</v>
      </c>
      <c r="D70" s="4">
        <f>(2*COMBIN(3,3)*COMBIN(2,1)*COMBIN(15,6)+COMBIN(3,1)*COMBIN(2,1)*COMBIN(15,8))/COMBIN(20,10)*100+C70</f>
        <v>53.56037151702786</v>
      </c>
      <c r="E70" s="29">
        <f>2*COMBIN(3,3)*COMBIN(2,0)*COMBIN(15,7)/COMBIN(20,10)*100+D70</f>
        <v>60.52631578947368</v>
      </c>
      <c r="F70" s="195">
        <f>2*COMBIN(3,3)*COMBIN(2,0)*COMBIN(15,7)/COMBIN(20,10)*100+D70</f>
        <v>60.52631578947368</v>
      </c>
      <c r="G70">
        <v>1</v>
      </c>
      <c r="H70" s="177" t="s">
        <v>17</v>
      </c>
      <c r="I70" s="173">
        <f>100-2*COMBIN(4,4)*COMBIN(16,6)/COMBIN(20,10)*100</f>
        <v>91.3312693498452</v>
      </c>
      <c r="J70" s="120" t="s">
        <v>0</v>
      </c>
      <c r="K70" s="121" t="s">
        <v>0</v>
      </c>
    </row>
    <row r="71" spans="1:11" ht="12.75">
      <c r="A71">
        <v>2</v>
      </c>
      <c r="B71" s="70">
        <v>8</v>
      </c>
      <c r="C71" s="50">
        <f>2*COMBIN(7,7)*COMBIN(13,3)/COMBIN(20,10)*100</f>
        <v>0.30959752321981426</v>
      </c>
      <c r="D71" s="4">
        <f>2*COMBIN(1,1)*COMBIN(6,5)*COMBIN(13,4)/COMBIN(20,10)*100+C71</f>
        <v>4.953560371517028</v>
      </c>
      <c r="E71" s="29">
        <f>2*COMBIN(1,1)*COMBIN(6,4)*COMBIN(13,5)/COMBIN(20,10)*100+D71</f>
        <v>25.85139318885449</v>
      </c>
      <c r="F71" s="195">
        <f>2*COMBIN(1,1)*COMBIN(6,3)*COMBIN(13,6)/COMBIN(20,10)*100+E71</f>
        <v>63.0030959752322</v>
      </c>
      <c r="G71">
        <v>2</v>
      </c>
      <c r="H71" s="177" t="s">
        <v>32</v>
      </c>
      <c r="I71" s="173">
        <f>100-2*COMBIN(3,3)*COMBIN(17,7)/COMBIN(20,10)*100</f>
        <v>78.94736842105263</v>
      </c>
      <c r="J71" s="120" t="s">
        <v>0</v>
      </c>
      <c r="K71" s="121" t="s">
        <v>0</v>
      </c>
    </row>
    <row r="72" spans="1:11" ht="12.75">
      <c r="A72">
        <v>3</v>
      </c>
      <c r="B72" s="70">
        <v>9</v>
      </c>
      <c r="C72" s="50">
        <f>(2*COMBIN(7,7)*COMBIN(13,3)+COMBIN(2,1)*COMBIN(18,9))/COMBIN(20,10)*100</f>
        <v>52.941176470588225</v>
      </c>
      <c r="D72" s="4">
        <f>2*COMBIN(2,2)*COMBIN(5,4)*COMBIN(13,4)/COMBIN(20,10)*100+C72</f>
        <v>56.8111455108359</v>
      </c>
      <c r="E72" s="29">
        <f>2*COMBIN(2,2)*COMBIN(5,3)*COMBIN(13,5)/COMBIN(20,10)*100+D72</f>
        <v>70.74303405572753</v>
      </c>
      <c r="F72" s="196">
        <f>2*COMBIN(2,2)*COMBIN(5,2)*COMBIN(13,6)/COMBIN(20,10)*100+E72</f>
        <v>89.31888544891639</v>
      </c>
      <c r="G72">
        <v>3</v>
      </c>
      <c r="H72" s="177" t="s">
        <v>13</v>
      </c>
      <c r="I72" s="173">
        <f>100-(2*COMBIN(4,4)*COMBIN(16,6)+COMBIN(3,1)*COMBIN(1,0)*COMBIN(16,9)+2*COMBIN(3,3)*COMBIN(1,0)*COMBIN(16,7))/COMBIN(20,10)*100</f>
        <v>60.371517027863774</v>
      </c>
      <c r="J72" s="28">
        <f>100-2*COMBIN(3,3)*COMBIN(17,7)/COMBIN(20,10)*100</f>
        <v>78.94736842105263</v>
      </c>
      <c r="K72" s="121" t="s">
        <v>0</v>
      </c>
    </row>
    <row r="73" spans="1:11" ht="12.75">
      <c r="A73">
        <v>4</v>
      </c>
      <c r="B73" s="70">
        <v>710</v>
      </c>
      <c r="C73" s="50">
        <f>(2*COMBIN(6,6)*COMBIN(14,4)+COMBIN(2,1)*COMBIN(4,0)*COMBIN(14,9))/COMBIN(20,10)*100</f>
        <v>3.2507739938080498</v>
      </c>
      <c r="D73" s="4">
        <f>(2*COMBIN(2,2)*COMBIN(4,3)*COMBIN(14,5)+COMBIN(2,1)*COMBIN(4,1)*COMBIN(14,8))/COMBIN(20,10)*100+C73</f>
        <v>24.922600619195048</v>
      </c>
      <c r="E73" s="29">
        <f>(2*COMBIN(2,2)*COMBIN(4,2)*COMBIN(14,6)+COMBIN(2,1)*COMBIN(4,2)*COMBIN(14,7))/COMBIN(20,10)*100+D73</f>
        <v>66.71826625386997</v>
      </c>
      <c r="F73" s="195">
        <f>(2*COMBIN(2,2)*COMBIN(4,1)*COMBIN(14,7)+COMBIN(2,1)*COMBIN(4,3)*COMBIN(14,6))/COMBIN(20,10)*100+E73</f>
        <v>94.58204334365325</v>
      </c>
      <c r="G73">
        <v>4</v>
      </c>
      <c r="H73" s="177" t="s">
        <v>33</v>
      </c>
      <c r="I73" s="173">
        <f>100-2*COMBIN(2,2)*COMBIN(18,8)/COMBIN(20,10)*100</f>
        <v>52.631578947368425</v>
      </c>
      <c r="J73" s="120" t="s">
        <v>0</v>
      </c>
      <c r="K73" s="121" t="s">
        <v>0</v>
      </c>
    </row>
    <row r="74" spans="1:11" ht="12.75">
      <c r="A74">
        <v>5</v>
      </c>
      <c r="B74" s="70" t="s">
        <v>15</v>
      </c>
      <c r="C74" s="50">
        <f>(2*COMBIN(5,5)*COMBIN(15,5)+2*COMBIN(2,2)*COMBIN(3,2)*COMBIN(15,6)+COMBIN(2,1)*COMBIN(3,2)*COMBIN(15,7)+COMBIN(2,1)*COMBIN(3,0)*COMBIN(15,9))/COMBIN(20,10)*100</f>
        <v>45.82043343653251</v>
      </c>
      <c r="D74" s="4">
        <f>2*COMBIN(2,2)*COMBIN(3,1)*COMBIN(15,7)/COMBIN(20,10)*100+C74</f>
        <v>66.71826625386997</v>
      </c>
      <c r="E74" s="29">
        <f>COMBIN(2,1)*COMBIN(3,2)*COMBIN(15,7)/COMBIN(20,10)*100+D74</f>
        <v>87.61609907120743</v>
      </c>
      <c r="F74" s="196">
        <f>2*COMBIN(2,2)*COMBIN(3,0)*COMBIN(15,8)/COMBIN(20,10)*100+E74</f>
        <v>94.58204334365325</v>
      </c>
      <c r="G74">
        <v>5</v>
      </c>
      <c r="H74" s="177" t="s">
        <v>14</v>
      </c>
      <c r="I74" s="173">
        <f>100-2*(COMBIN(4,4)*COMBIN(16,6)+COMBIN(4,3)*COMBIN(16,7))/COMBIN(20,10)*100</f>
        <v>41.795665634674926</v>
      </c>
      <c r="J74" s="28">
        <f>100-2*COMBIN(3,3)*COMBIN(17,7)/COMBIN(20,10)*100</f>
        <v>78.94736842105263</v>
      </c>
      <c r="K74" s="121" t="s">
        <v>0</v>
      </c>
    </row>
    <row r="75" spans="1:11" ht="13.5" thickBot="1">
      <c r="A75">
        <v>6</v>
      </c>
      <c r="B75" s="101" t="s">
        <v>40</v>
      </c>
      <c r="C75" s="50">
        <f>(2*COMBIN(5,5)*COMBIN(15,5)+2*COMBIN(2,2)*COMBIN(3,2)*COMBIN(15,6)+COMBIN(2,1)*COMBIN(3,2)*COMBIN(15,7)+COMBIN(2,1)*COMBIN(3,0)*COMBIN(15,9)+COMBIN(2,2)*COMBIN(3,0)*COMBIN(15,8))/COMBIN(20,10)*100</f>
        <v>49.303405572755416</v>
      </c>
      <c r="D75" s="4">
        <f>2*COMBIN(2,2)*COMBIN(3,1)*COMBIN(15,7)/COMBIN(20,10)*100+C75</f>
        <v>70.20123839009287</v>
      </c>
      <c r="E75" s="29">
        <f>COMBIN(2,1)*COMBIN(3,2)*COMBIN(15,7)/COMBIN(20,10)*100+D75</f>
        <v>91.09907120743033</v>
      </c>
      <c r="F75" s="196">
        <f>COMBIN(2,2)*COMBIN(3,0)*COMBIN(15,8)/COMBIN(20,10)*100+E75</f>
        <v>94.58204334365324</v>
      </c>
      <c r="G75">
        <v>6</v>
      </c>
      <c r="H75" s="179" t="s">
        <v>8</v>
      </c>
      <c r="I75" s="175">
        <f>(COMBIN(2,2)*(COMBIN(3,1)*COMBIN(15,7)+COMBIN(3,2)*COMBIN(15,6))+COMBIN(2,1)*COMBIN(3,2)*COMBIN(15,7))/COMBIN(20,10)*100</f>
        <v>39.473684210526315</v>
      </c>
      <c r="J75" s="114">
        <f>COMBIN(1,1)*(2*COMBIN(3,1)*COMBIN(16,8)+COMBIN(3,2)*COMBIN(16,7))/COMBIN(20,10)*100</f>
        <v>60.371517027863774</v>
      </c>
      <c r="K75" s="125">
        <f>100-2*COMBIN(3,3)*COMBIN(17,7)/COMBIN(20,10)*100</f>
        <v>78.94736842105263</v>
      </c>
    </row>
    <row r="76" spans="1:12" ht="13.5" thickTop="1">
      <c r="A76">
        <v>7</v>
      </c>
      <c r="B76" s="70">
        <v>89</v>
      </c>
      <c r="C76" s="50">
        <f>2*(COMBIN(6,6)*COMBIN(14,4)+COMBIN(1,1)*COMBIN(5,4)*COMBIN(14,5))/COMBIN(20,10)*100</f>
        <v>11.91950464396285</v>
      </c>
      <c r="D76" s="4">
        <f>2*COMBIN(1,1)*COMBIN(5,3)*COMBIN(14,6)/COMBIN(20,10)*100+C76</f>
        <v>44.42724458204334</v>
      </c>
      <c r="E76" s="29">
        <f>2*COMBIN(1,1)*COMBIN(5,2)*COMBIN(14,7)/COMBIN(20,10)*100+D76</f>
        <v>81.57894736842105</v>
      </c>
      <c r="F76" s="196">
        <f>2*COMBIN(1,1)*COMBIN(5,1)*COMBIN(14,8)/COMBIN(20,10)*100+E76</f>
        <v>97.83281733746131</v>
      </c>
      <c r="G76">
        <v>7</v>
      </c>
      <c r="H76" s="188" t="s">
        <v>31</v>
      </c>
      <c r="I76" s="182">
        <f>100-(2*COMBIN(3,3)*COMBIN(17,7)+COMBIN(2,1)*COMBIN(1,0)*COMBIN(17,9)+2*COMBIN(2,2)*COMBIN(1,0)*COMBIN(17,8))/COMBIN(20,10)*100</f>
        <v>26.31578947368422</v>
      </c>
      <c r="J76" s="183">
        <f>100-2*COMBIN(2,2)*COMBIN(18,8)/COMBIN(20,10)*100</f>
        <v>52.631578947368425</v>
      </c>
      <c r="K76" s="189" t="s">
        <v>0</v>
      </c>
      <c r="L76" s="71"/>
    </row>
    <row r="77" spans="1:11" ht="12.75">
      <c r="A77">
        <v>8</v>
      </c>
      <c r="B77" s="101">
        <v>10</v>
      </c>
      <c r="C77" s="50">
        <f>100-2*COMBIN(3,3)*(COMBIN(17,7)-COMBIN(4,4)*COMBIN(13,3))/COMBIN(20,10)*100</f>
        <v>79.25696594427245</v>
      </c>
      <c r="D77" s="4">
        <f>100-2*COMBIN(3,3)*(COMBIN(17,7)-COMBIN(4,4)*COMBIN(13,3)-COMBIN(4,3)*COMBIN(13,4))/COMBIN(20,10)*100</f>
        <v>82.35294117647058</v>
      </c>
      <c r="E77" s="29">
        <f>100-2*COMBIN(3,3)*(COMBIN(17,7)-COMBIN(4,4)*COMBIN(13,3)-COMBIN(4,3)*COMBIN(13,4)-COMBIN(4,2)*COMBIN(13,5))/COMBIN(20,10)*100</f>
        <v>90.71207430340557</v>
      </c>
      <c r="F77" s="196">
        <f>100-2*COMBIN(3,3)*COMBIN(4,0)*COMBIN(13,7)/COMBIN(20,10)*100</f>
        <v>98.14241486068111</v>
      </c>
      <c r="G77">
        <v>8</v>
      </c>
      <c r="H77" s="185" t="s">
        <v>51</v>
      </c>
      <c r="I77" s="174">
        <f>100-(2*COMBIN(3,3)*COMBIN(17,7)+COMBIN(2,1)*COMBIN(1,0)*COMBIN(17,9)+2*COMBIN(2,2)*COMBIN(1,0)*COMBIN(17,8))/COMBIN(20,10)*100</f>
        <v>26.31578947368422</v>
      </c>
      <c r="J77" s="180" t="s">
        <v>0</v>
      </c>
      <c r="K77" s="181" t="s">
        <v>0</v>
      </c>
    </row>
    <row r="78" spans="1:11" ht="12.75">
      <c r="A78">
        <v>9</v>
      </c>
      <c r="B78" s="101">
        <v>810</v>
      </c>
      <c r="C78" s="50">
        <f>(2*COMBIN(6,6)*COMBIN(14,4)+2*COMBIN(1,1)*COMBIN(5,4)*COMBIN(14,5)+COMBIN(1,1)*COMBIN(5,0)*COMBIN(14,9))/COMBIN(20,10)*100</f>
        <v>13.003095975232199</v>
      </c>
      <c r="D78" s="6">
        <f>(2*COMBIN(1,1)*COMBIN(5,3)*COMBIN(14,6)+COMBIN(1,1)*COMBIN(1,0)*COMBIN(4,1)*COMBIN(14,8))/COMBIN(20,10)*100+C78</f>
        <v>52.01238390092878</v>
      </c>
      <c r="E78" s="78">
        <f>2*COMBIN(1,1)*COMBIN(5,2)*COMBIN(14,7)/COMBIN(20,10)*100+D78</f>
        <v>89.1640866873065</v>
      </c>
      <c r="F78" s="196">
        <f>(COMBIN(1,1)*COMBIN(1,0)*COMBIN(4,1)*COMBIN(14,8)+2*COMBIN(2,2)*COMBIN(4,0)*COMBIN(14,8))/COMBIN(20,10)*100+E78</f>
        <v>98.91640866873064</v>
      </c>
      <c r="G78">
        <v>9</v>
      </c>
      <c r="H78" s="186" t="s">
        <v>16</v>
      </c>
      <c r="I78" s="173">
        <f>COMBIN(1,1)*COMBIN(4,2)*COMBIN(15,7)/COMBIN(20,10)*100</f>
        <v>20.89783281733746</v>
      </c>
      <c r="J78" s="28">
        <f>100-2*(COMBIN(4,4)*COMBIN(16,6)+COMBIN(4,3)*COMBIN(16,7))/COMBIN(20,10)*100</f>
        <v>41.795665634674926</v>
      </c>
      <c r="K78" s="121" t="s">
        <v>0</v>
      </c>
    </row>
    <row r="79" spans="1:11" ht="12.75">
      <c r="A79">
        <v>10</v>
      </c>
      <c r="B79" s="101" t="s">
        <v>12</v>
      </c>
      <c r="C79" s="50">
        <f>100-(2*COMBIN(3,3)*(COMBIN(17,7)-COMBIN(3,3)*COMBIN(14,4))+COMBIN(3,1)*(COMBIN(17,9)-COMBIN(3,0)*COMBIN(14,9)))/COMBIN(20,10)*100</f>
        <v>43.80804953560371</v>
      </c>
      <c r="D79" s="4">
        <f>(2*COMBIN(3,3)*COMBIN(3,2)*COMBIN(14,5)+COMBIN(3,1)*COMBIN(3,1)*COMBIN(14,8))/COMBIN(20,10)*100+C79</f>
        <v>64.93808049535603</v>
      </c>
      <c r="E79" s="29">
        <f>(2*COMBIN(3,3)*COMBIN(3,1)*COMBIN(14,6)+COMBIN(3,1)*COMBIN(3,2)*COMBIN(14,7))/COMBIN(20,10)*100+D79</f>
        <v>91.40866873065015</v>
      </c>
      <c r="F79" s="198">
        <v>100</v>
      </c>
      <c r="G79">
        <v>10</v>
      </c>
      <c r="H79" s="186" t="s">
        <v>28</v>
      </c>
      <c r="I79" s="173">
        <f>COMBIN(2,2)*COMBIN(2,1)*COMBIN(16,7)/COMBIN(20,10)*100</f>
        <v>12.38390092879257</v>
      </c>
      <c r="J79" s="28">
        <f>100-(2*COMBIN(3,3)*COMBIN(17,7)+COMBIN(2,1)*COMBIN(1,0)*COMBIN(17,9)+2*COMBIN(2,2)*COMBIN(1,0)*COMBIN(17,8))/COMBIN(20,10)*100</f>
        <v>26.31578947368422</v>
      </c>
      <c r="K79" s="17">
        <f>100-2*COMBIN(2,2)*COMBIN(18,8)/COMBIN(20,10)*100</f>
        <v>52.631578947368425</v>
      </c>
    </row>
    <row r="80" spans="1:11" ht="12.75">
      <c r="A80">
        <v>11</v>
      </c>
      <c r="B80" s="101" t="s">
        <v>39</v>
      </c>
      <c r="C80" s="50">
        <f>100-(2*COMBIN(3,3)*(COMBIN(3,0)*COMBIN(14,7)+COMBIN(3,1)*COMBIN(14,6))+COMBIN(3,1)*(COMBIN(3,1)*COMBIN(14,8)+COMBIN(3,2)*COMBIN(14,7)+COMBIN(3,3)*COMBIN(14,6)))/COMBIN(20,10)*100</f>
        <v>50.309597523219814</v>
      </c>
      <c r="D80" s="45">
        <f>100-(2*COMBIN(3,3)*COMBIN(3,0)*COMBIN(14,7)+COMBIN(3,1)*COMBIN(3,2)*COMBIN(14,7)+COMBIN(2,1)*COMBIN(1,0)*COMBIN(3,3)*COMBIN(14,6))/COMBIN(20,10)*100</f>
        <v>76.31578947368422</v>
      </c>
      <c r="E80" s="29">
        <f>100-(COMBIN(1,1)*COMBIN(2,1)*COMBIN(3,0)*COMBIN(14,8))/COMBIN(20,10)*100</f>
        <v>96.74922600619195</v>
      </c>
      <c r="F80" s="196">
        <v>100</v>
      </c>
      <c r="G80">
        <v>11</v>
      </c>
      <c r="H80" s="186" t="s">
        <v>50</v>
      </c>
      <c r="I80" s="173">
        <f>COMBIN(2,2)*COMBIN(2,1)*COMBIN(16,7)/COMBIN(20,10)*100</f>
        <v>12.38390092879257</v>
      </c>
      <c r="J80" s="28">
        <f>100-(2*COMBIN(3,3)*COMBIN(17,7)+COMBIN(2,1)*COMBIN(1,0)*COMBIN(17,9)+2*COMBIN(2,2)*COMBIN(1,0)*COMBIN(17,8))/COMBIN(20,10)*100</f>
        <v>26.31578947368422</v>
      </c>
      <c r="K80" s="121" t="s">
        <v>0</v>
      </c>
    </row>
    <row r="81" spans="1:11" ht="13.5" thickBot="1">
      <c r="A81">
        <v>12</v>
      </c>
      <c r="B81" s="159" t="s">
        <v>53</v>
      </c>
      <c r="C81" s="153">
        <f>(2*COMBIN(5,5)*COMBIN(15,5)+2*COMBIN(5,4)*COMBIN(15,6)+COMBIN(4,2)*COMBIN(1,0)*COMBIN(15,8)+3*COMBIN(2,1)*COMBIN(1,1)*COMBIN(2,0)*COMBIN(15,8))/COMBIN(20,10)*100</f>
        <v>72.13622291021672</v>
      </c>
      <c r="D81" s="169">
        <f>(COMBIN(2,1)*COMBIN(1,1)*COMBIN(2,0)*COMBIN(15,8)+COMBIN(3,3)*COMBIN(2,0)*COMBIN(15,7))/COMBIN(20,10)*100+C81</f>
        <v>82.58513931888544</v>
      </c>
      <c r="E81" s="30">
        <f>COMBIN(1,1)*COMBIN(2,1)*COMBIN(2,1)*COMBIN(15,7)/COMBIN(20,10)*100+D81</f>
        <v>96.51702786377707</v>
      </c>
      <c r="F81" s="199">
        <v>100</v>
      </c>
      <c r="G81">
        <v>12</v>
      </c>
      <c r="H81" s="185" t="s">
        <v>15</v>
      </c>
      <c r="I81" s="174">
        <f>COMBIN(3,3)*COMBIN(2,1)*COMBIN(15,6)/COMBIN(20,10)*100</f>
        <v>5.41795665634675</v>
      </c>
      <c r="J81" s="28">
        <f>COMBIN(2,2)*COMBIN(2,1)*COMBIN(16,7)/COMBIN(20,10)*100</f>
        <v>12.38390092879257</v>
      </c>
      <c r="K81" s="17">
        <f>100-(2*COMBIN(3,3)*COMBIN(17,7)+COMBIN(2,1)*COMBIN(1,0)*COMBIN(17,9)+2*COMBIN(2,2)*COMBIN(1,0)*COMBIN(17,8))/COMBIN(20,10)*100</f>
        <v>26.31578947368422</v>
      </c>
    </row>
    <row r="82" spans="7:11" ht="12.75">
      <c r="G82">
        <v>13</v>
      </c>
      <c r="H82" s="186" t="s">
        <v>40</v>
      </c>
      <c r="I82" s="173">
        <f>COMBIN(3,3)*COMBIN(2,1)*COMBIN(15,6)/COMBIN(20,10)*100</f>
        <v>5.41795665634675</v>
      </c>
      <c r="J82" s="123">
        <f>COMBIN(2,2)*COMBIN(2,1)*COMBIN(16,7)/COMBIN(20,10)*100</f>
        <v>12.38390092879257</v>
      </c>
      <c r="K82" s="17">
        <f>100-(2*COMBIN(3,3)*COMBIN(17,7)+COMBIN(2,1)*COMBIN(1,0)*COMBIN(17,9)+2*COMBIN(2,2)*COMBIN(1,0)*COMBIN(17,8))/COMBIN(20,10)*100</f>
        <v>26.31578947368422</v>
      </c>
    </row>
    <row r="83" spans="3:11" ht="13.5" thickBot="1">
      <c r="C83" s="7" t="s">
        <v>73</v>
      </c>
      <c r="G83">
        <v>14</v>
      </c>
      <c r="H83" s="190">
        <v>710</v>
      </c>
      <c r="I83" s="176">
        <f>COMBIN(4,4)*COMBIN(2,1)*COMBIN(14,5)/COMBIN(20,10)*100</f>
        <v>2.1671826625387</v>
      </c>
      <c r="J83" s="191">
        <f>COMBIN(3,3)*COMBIN(2,1)*COMBIN(15,6)/COMBIN(20,10)*100</f>
        <v>5.41795665634675</v>
      </c>
      <c r="K83" s="192">
        <f>COMBIN(2,2)*COMBIN(2,1)*COMBIN(16,7)/COMBIN(20,10)*100</f>
        <v>12.38390092879257</v>
      </c>
    </row>
    <row r="84" spans="2:6" ht="13.5" thickBot="1">
      <c r="B84" s="18" t="s">
        <v>30</v>
      </c>
      <c r="C84" s="211" t="s">
        <v>35</v>
      </c>
      <c r="D84" s="211"/>
      <c r="E84" s="211"/>
      <c r="F84" s="212"/>
    </row>
    <row r="85" spans="2:6" ht="13.5" thickBot="1">
      <c r="B85" s="18" t="s">
        <v>27</v>
      </c>
      <c r="C85" s="53" t="s">
        <v>19</v>
      </c>
      <c r="D85" s="27" t="s">
        <v>23</v>
      </c>
      <c r="E85" s="164" t="s">
        <v>24</v>
      </c>
      <c r="F85" s="193" t="s">
        <v>57</v>
      </c>
    </row>
    <row r="86" spans="2:6" ht="51.75" thickBot="1">
      <c r="B86" s="148" t="s">
        <v>1</v>
      </c>
      <c r="C86" s="8" t="s">
        <v>10</v>
      </c>
      <c r="D86" s="2" t="s">
        <v>4</v>
      </c>
      <c r="E86" s="32" t="s">
        <v>6</v>
      </c>
      <c r="F86" s="194" t="s">
        <v>58</v>
      </c>
    </row>
    <row r="87" spans="1:6" ht="12.75">
      <c r="A87">
        <v>1</v>
      </c>
      <c r="B87" s="14">
        <v>8</v>
      </c>
      <c r="C87" s="9">
        <f>2*COMBIN(6,6)*COMBIN(14,4)/COMBIN(20,10)*100</f>
        <v>1.08359133126935</v>
      </c>
      <c r="D87" s="4">
        <f>2*COMBIN(1,1)*COMBIN(5,4)*COMBIN(14,5)/COMBIN(20,10)*100+C87</f>
        <v>11.91950464396285</v>
      </c>
      <c r="E87" s="78">
        <f>2*COMBIN(1,1)*COMBIN(5,3)*COMBIN(14,6)/COMBIN(20,10)*100+D87</f>
        <v>44.42724458204334</v>
      </c>
      <c r="F87" s="195">
        <f>2*COMBIN(1,1)*COMBIN(5,2)*COMBIN(14,7)/COMBIN(20,10)*100+E87</f>
        <v>81.57894736842105</v>
      </c>
    </row>
    <row r="88" spans="1:6" ht="12.75">
      <c r="A88">
        <v>2</v>
      </c>
      <c r="B88" s="14" t="s">
        <v>15</v>
      </c>
      <c r="C88" s="28">
        <f>(2*COMBIN(4,4)*COMBIN(16,6)+2*COMBIN(2,2)*COMBIN(2,1)*COMBIN(16,7)+COMBIN(2,1)*COMBIN(2,2)*COMBIN(16,7))/COMBIN(20,10)*100</f>
        <v>45.82043343653251</v>
      </c>
      <c r="D88" s="6">
        <f>COMBIN(2,1)*COMBIN(2,1)*COMBIN(16,8)/COMBIN(20,10)*100+C88</f>
        <v>73.68421052631578</v>
      </c>
      <c r="E88" s="78">
        <f>2*COMBIN(2,2)*COMBIN(2,0)*COMBIN(16,8)/COMBIN(20,10)*100+D88</f>
        <v>87.61609907120742</v>
      </c>
      <c r="F88" s="196">
        <f>2*COMBIN(2,2)*COMBIN(2,0)*COMBIN(16,8)/COMBIN(20,10)*100+D88</f>
        <v>87.61609907120742</v>
      </c>
    </row>
    <row r="89" spans="1:6" ht="12.75">
      <c r="A89">
        <v>3</v>
      </c>
      <c r="B89" s="102" t="s">
        <v>40</v>
      </c>
      <c r="C89" s="28">
        <f>(2*COMBIN(4,4)*COMBIN(16,6)+2*COMBIN(2,2)*COMBIN(2,1)*COMBIN(16,7)+COMBIN(2,1)*COMBIN(2,2)*COMBIN(16,7))/COMBIN(20,10)*100</f>
        <v>45.82043343653251</v>
      </c>
      <c r="D89" s="6">
        <f>COMBIN(2,1)*COMBIN(2,1)*COMBIN(16,8)/COMBIN(20,10)*100+C89</f>
        <v>73.68421052631578</v>
      </c>
      <c r="E89" s="78">
        <f>2*COMBIN(2,2)*COMBIN(2,0)*COMBIN(16,8)/COMBIN(20,10)*100+D89</f>
        <v>87.61609907120742</v>
      </c>
      <c r="F89" s="196">
        <f>2*COMBIN(2,2)*COMBIN(2,0)*COMBIN(16,8)/COMBIN(20,10)*100+D89</f>
        <v>87.61609907120742</v>
      </c>
    </row>
    <row r="90" spans="1:6" ht="12.75">
      <c r="A90">
        <v>4</v>
      </c>
      <c r="B90" s="14">
        <v>89</v>
      </c>
      <c r="C90" s="9">
        <f>2*(COMBIN(5,5)*COMBIN(15,5)+COMBIN(1,1)*COMBIN(4,3)*COMBIN(15,6))/COMBIN(20,10)*100</f>
        <v>24.922600619195045</v>
      </c>
      <c r="D90" s="4">
        <f>2*COMBIN(1,1)*COMBIN(4,2)*COMBIN(15,7)/COMBIN(20,10)*100+C90</f>
        <v>66.71826625386996</v>
      </c>
      <c r="E90" s="29">
        <f>2*COMBIN(1,1)*COMBIN(4,1)*COMBIN(15,8)/COMBIN(20,10)*100+D90</f>
        <v>94.58204334365323</v>
      </c>
      <c r="F90" s="195">
        <f>2*COMBIN(1,1)*COMBIN(4,1)*COMBIN(15,8)/COMBIN(20,10)*100+D90</f>
        <v>94.58204334365323</v>
      </c>
    </row>
    <row r="91" spans="1:6" ht="12.75">
      <c r="A91">
        <v>5</v>
      </c>
      <c r="B91" s="14">
        <v>710</v>
      </c>
      <c r="C91" s="9">
        <f>(2*COMBIN(5,5)*COMBIN(15,5)+COMBIN(2,1)*COMBIN(3,0)*COMBIN(15,9))/COMBIN(20,10)*100</f>
        <v>8.6687306501548</v>
      </c>
      <c r="D91" s="67">
        <f>(2*COMBIN(2,2)*COMBIN(3,2)*COMBIN(15,6)+COMBIN(2,1)*COMBIN(3,2)*COMBIN(15,7))/COMBIN(20,10)*100+C91</f>
        <v>45.82043343653251</v>
      </c>
      <c r="E91" s="29">
        <f>(2*COMBIN(2,2)*COMBIN(3,1)*COMBIN(15,7)+COMBIN(2,1)*COMBIN(3,2)*COMBIN(15,7))/COMBIN(20,10)*100+D91</f>
        <v>87.61609907120743</v>
      </c>
      <c r="F91" s="17">
        <f>2*COMBIN(2,2)*COMBIN(3,0)*COMBIN(15,8)/COMBIN(20,10)*100+E91</f>
        <v>94.58204334365325</v>
      </c>
    </row>
    <row r="92" spans="1:7" ht="12.75">
      <c r="A92">
        <v>6</v>
      </c>
      <c r="B92" s="14">
        <v>9</v>
      </c>
      <c r="C92" s="9">
        <f>(2*COMBIN(6,6)*COMBIN(14,4)+COMBIN(2,1)*COMBIN(18,9))/COMBIN(20,10)*100</f>
        <v>53.71517027863776</v>
      </c>
      <c r="D92" s="4">
        <f>2*COMBIN(2,2)*COMBIN(4,3)*COMBIN(14,5)/COMBIN(20,10)*100+C92</f>
        <v>62.383900928792556</v>
      </c>
      <c r="E92" s="78">
        <f>2*COMBIN(2,2)*COMBIN(4,2)*COMBIN(14,6)/COMBIN(20,10)*100+D92</f>
        <v>81.88854489164085</v>
      </c>
      <c r="F92" s="17">
        <f>2*COMBIN(2,2)*COMBIN(4,1)*COMBIN(14,7)/COMBIN(20,10)*100+E92</f>
        <v>96.74922600619193</v>
      </c>
      <c r="G92" s="73"/>
    </row>
    <row r="93" spans="1:6" ht="12.75">
      <c r="A93">
        <v>7</v>
      </c>
      <c r="B93" s="102">
        <v>810</v>
      </c>
      <c r="C93" s="9">
        <f>(2*COMBIN(5,5)*COMBIN(15,5)+2*COMBIN(1,1)*COMBIN(4,3)*COMBIN(15,6)+COMBIN(1,1)*COMBIN(4,0)*COMBIN(15,9))/COMBIN(20,10)*100</f>
        <v>27.631578947368425</v>
      </c>
      <c r="D93" s="6">
        <f>(2*COMBIN(1,1)*COMBIN(4,2)*COMBIN(15,7)+COMBIN(1,1)*COMBIN(1,0)*COMBIN(3,1)*COMBIN(15,8))/COMBIN(20,10)*100+C93</f>
        <v>79.87616099071207</v>
      </c>
      <c r="E93" s="78">
        <f>(2*COMBIN(1,1)*COMBIN(4,1)*COMBIN(15,8)-COMBIN(1,1)*COMBIN(1,0)*COMBIN(3,1)*COMBIN(15,8))/COMBIN(20,10)*100+D93</f>
        <v>97.29102167182661</v>
      </c>
      <c r="F93" s="196">
        <f>(2*COMBIN(1,1)*COMBIN(4,1)*COMBIN(15,8)-COMBIN(1,1)*COMBIN(1,0)*COMBIN(3,1)*COMBIN(15,8))/COMBIN(20,10)*100+D93</f>
        <v>97.29102167182661</v>
      </c>
    </row>
    <row r="94" spans="1:6" ht="13.5" thickBot="1">
      <c r="A94">
        <v>8</v>
      </c>
      <c r="B94" s="167">
        <v>10</v>
      </c>
      <c r="C94" s="165">
        <f>100-2*COMBIN(3,3)*(COMBIN(17,7)-COMBIN(3,3)*COMBIN(14,4))/COMBIN(20,10)*100</f>
        <v>80.03095975232198</v>
      </c>
      <c r="D94" s="169">
        <f>100-2*COMBIN(3,3)*(COMBIN(17,7)-COMBIN(3,3)*COMBIN(14,4)-COMBIN(3,2)*COMBIN(14,5))/COMBIN(20,10)*100</f>
        <v>86.53250773993808</v>
      </c>
      <c r="E94" s="30">
        <f>100-2*COMBIN(3,3)*(COMBIN(17,7)-COMBIN(3,3)*COMBIN(14,4)-COMBIN(3,2)*COMBIN(14,5)-COMBIN(3,1)*COMBIN(14,6))/COMBIN(20,10)*100</f>
        <v>96.28482972136223</v>
      </c>
      <c r="F94" s="192">
        <v>100</v>
      </c>
    </row>
    <row r="96" ht="13.5" thickBot="1">
      <c r="C96" s="7" t="s">
        <v>74</v>
      </c>
    </row>
    <row r="97" spans="2:6" ht="13.5" thickBot="1">
      <c r="B97" s="18" t="s">
        <v>30</v>
      </c>
      <c r="C97" s="204" t="s">
        <v>69</v>
      </c>
      <c r="D97" s="204"/>
      <c r="E97" s="204"/>
      <c r="F97" s="205"/>
    </row>
    <row r="98" spans="2:6" ht="13.5" thickBot="1">
      <c r="B98" s="18" t="s">
        <v>27</v>
      </c>
      <c r="C98" s="58" t="s">
        <v>20</v>
      </c>
      <c r="D98" s="22" t="s">
        <v>25</v>
      </c>
      <c r="E98" s="34" t="s">
        <v>26</v>
      </c>
      <c r="F98" s="200" t="s">
        <v>59</v>
      </c>
    </row>
    <row r="99" spans="2:6" ht="51.75" thickBot="1">
      <c r="B99" s="148" t="s">
        <v>1</v>
      </c>
      <c r="C99" s="8" t="s">
        <v>11</v>
      </c>
      <c r="D99" s="2" t="s">
        <v>7</v>
      </c>
      <c r="E99" s="32" t="s">
        <v>5</v>
      </c>
      <c r="F99" s="194" t="s">
        <v>60</v>
      </c>
    </row>
    <row r="100" spans="1:6" ht="12.75">
      <c r="A100">
        <v>1</v>
      </c>
      <c r="B100" s="14">
        <v>710</v>
      </c>
      <c r="C100" s="9">
        <f>(2*COMBIN(4,4)*COMBIN(16,6)+COMBIN(2,1)*COMBIN(2,0)*COMBIN(16,9))/COMBIN(20,10)*100</f>
        <v>21.052631578947366</v>
      </c>
      <c r="D100" s="6">
        <f>(2*COMBIN(2,2)*COMBIN(2,1)*COMBIN(16,7)+COMBIN(2,1)*COMBIN(2,1)*COMBIN(16,8))/COMBIN(20,10)*100+C100</f>
        <v>73.68421052631578</v>
      </c>
      <c r="E100" s="78">
        <f>2*COMBIN(2,2)*COMBIN(2,0)*COMBIN(16,8)/COMBIN(20,10)*100+D100</f>
        <v>87.61609907120742</v>
      </c>
      <c r="F100" s="196">
        <f>2*COMBIN(2,2)*COMBIN(2,0)*COMBIN(16,8)/COMBIN(20,10)*100+D100</f>
        <v>87.61609907120742</v>
      </c>
    </row>
    <row r="101" spans="1:6" ht="12.75">
      <c r="A101">
        <v>2</v>
      </c>
      <c r="B101" s="14">
        <v>8</v>
      </c>
      <c r="C101" s="9">
        <f>2*COMBIN(5,5)*COMBIN(15,5)/COMBIN(20,10)*100</f>
        <v>3.2507739938080498</v>
      </c>
      <c r="D101" s="4">
        <f>2*COMBIN(1,1)*COMBIN(4,3)*COMBIN(15,6)/COMBIN(20,10)*100+C101</f>
        <v>24.922600619195048</v>
      </c>
      <c r="E101" s="29">
        <f>2*COMBIN(1,1)*COMBIN(4,2)*COMBIN(15,7)/COMBIN(20,10)*100+D101</f>
        <v>66.71826625386997</v>
      </c>
      <c r="F101" s="195">
        <f>2*COMBIN(1,1)*COMBIN(4,1)*COMBIN(15,8)/COMBIN(20,10)*100+E101</f>
        <v>94.58204334365325</v>
      </c>
    </row>
    <row r="102" spans="1:6" ht="12.75">
      <c r="A102">
        <v>3</v>
      </c>
      <c r="B102" s="102">
        <v>9</v>
      </c>
      <c r="C102" s="9">
        <f>(2*COMBIN(5,5)*COMBIN(15,5)+COMBIN(2,1)*COMBIN(18,9))/COMBIN(20,10)*100</f>
        <v>55.882352941176464</v>
      </c>
      <c r="D102" s="4">
        <f>2*COMBIN(2,2)*COMBIN(3,2)*COMBIN(15,6)/COMBIN(20,10)*100+C102</f>
        <v>72.1362229102167</v>
      </c>
      <c r="E102" s="29">
        <f>2*COMBIN(2,2)*COMBIN(3,1)*COMBIN(15,7)/COMBIN(20,10)*100+D102</f>
        <v>93.03405572755416</v>
      </c>
      <c r="F102" s="201">
        <v>100</v>
      </c>
    </row>
    <row r="103" spans="1:6" ht="12.75">
      <c r="A103">
        <v>4</v>
      </c>
      <c r="B103" s="102">
        <v>89</v>
      </c>
      <c r="C103" s="9">
        <f>2*(COMBIN(4,4)*COMBIN(16,6)+COMBIN(1,1)*COMBIN(3,2)*COMBIN(16,7))/COMBIN(20,10)*100</f>
        <v>45.82043343653251</v>
      </c>
      <c r="D103" s="4">
        <f>2*COMBIN(1,1)*COMBIN(3,1)*COMBIN(16,8)/COMBIN(20,10)*100+C103</f>
        <v>87.61609907120743</v>
      </c>
      <c r="E103" s="29">
        <f>2*COMBIN(1,1)*COMBIN(3,1)*COMBIN(16,8)/COMBIN(20,10)*100+C103</f>
        <v>87.61609907120743</v>
      </c>
      <c r="F103" s="201">
        <v>100</v>
      </c>
    </row>
    <row r="104" spans="1:6" ht="13.5" thickBot="1">
      <c r="A104">
        <v>5</v>
      </c>
      <c r="B104" s="167">
        <v>810</v>
      </c>
      <c r="C104" s="165">
        <f>(2*COMBIN(4,4)*COMBIN(16,6)+2*COMBIN(1,1)*COMBIN(3,2)*COMBIN(16,7)+COMBIN(1,1)*COMBIN(3,0)*COMBIN(16,9))/COMBIN(20,10)*100</f>
        <v>52.012383900928796</v>
      </c>
      <c r="D104" s="166">
        <f>2*COMBIN(1,1)*COMBIN(3,1)*COMBIN(16,8)/COMBIN(20,10)*100+C104</f>
        <v>93.80804953560371</v>
      </c>
      <c r="E104" s="168">
        <f>2*COMBIN(1,1)*COMBIN(3,1)*COMBIN(16,8)/COMBIN(20,10)*100+C104</f>
        <v>93.80804953560371</v>
      </c>
      <c r="F104" s="202">
        <v>100</v>
      </c>
    </row>
  </sheetData>
  <sheetProtection/>
  <autoFilter ref="H69:K69"/>
  <mergeCells count="15">
    <mergeCell ref="C84:F84"/>
    <mergeCell ref="C97:F97"/>
    <mergeCell ref="C67:F67"/>
    <mergeCell ref="B2:B6"/>
    <mergeCell ref="C9:E9"/>
    <mergeCell ref="F9:H9"/>
    <mergeCell ref="C38:E38"/>
    <mergeCell ref="F38:H38"/>
    <mergeCell ref="I38:K38"/>
    <mergeCell ref="L6:AB6"/>
    <mergeCell ref="L4:AB4"/>
    <mergeCell ref="L3:AA3"/>
    <mergeCell ref="L2:AB2"/>
    <mergeCell ref="L5:Z5"/>
    <mergeCell ref="I9:K9"/>
  </mergeCells>
  <printOptions/>
  <pageMargins left="0.75" right="0.75" top="1" bottom="1" header="0.5" footer="0.5"/>
  <pageSetup horizontalDpi="300" verticalDpi="300" orientation="portrait" paperSize="9" r:id="rId3"/>
  <ignoredErrors>
    <ignoredError sqref="E7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X65"/>
  <sheetViews>
    <sheetView zoomScalePageLayoutView="0" workbookViewId="0" topLeftCell="A37">
      <selection activeCell="F68" sqref="F68"/>
    </sheetView>
  </sheetViews>
  <sheetFormatPr defaultColWidth="9.00390625" defaultRowHeight="12.75"/>
  <cols>
    <col min="1" max="1" width="5.25390625" style="0" customWidth="1"/>
    <col min="2" max="2" width="12.125" style="0" customWidth="1"/>
    <col min="3" max="3" width="14.375" style="0" customWidth="1"/>
    <col min="4" max="4" width="14.625" style="0" customWidth="1"/>
    <col min="5" max="5" width="15.625" style="0" customWidth="1"/>
    <col min="6" max="6" width="15.00390625" style="0" customWidth="1"/>
    <col min="7" max="7" width="16.125" style="0" customWidth="1"/>
    <col min="8" max="8" width="15.00390625" style="0" customWidth="1"/>
    <col min="9" max="9" width="15.125" style="0" customWidth="1"/>
    <col min="10" max="10" width="14.75390625" style="0" customWidth="1"/>
    <col min="11" max="11" width="16.125" style="0" customWidth="1"/>
    <col min="13" max="13" width="5.25390625" style="0" customWidth="1"/>
    <col min="14" max="14" width="12.125" style="0" customWidth="1"/>
    <col min="15" max="15" width="14.375" style="0" customWidth="1"/>
    <col min="16" max="16" width="14.625" style="0" customWidth="1"/>
    <col min="17" max="17" width="15.625" style="0" customWidth="1"/>
    <col min="18" max="18" width="15.00390625" style="0" customWidth="1"/>
    <col min="19" max="19" width="16.125" style="0" customWidth="1"/>
    <col min="20" max="20" width="15.00390625" style="0" customWidth="1"/>
    <col min="21" max="21" width="15.125" style="0" customWidth="1"/>
    <col min="22" max="22" width="14.75390625" style="0" customWidth="1"/>
    <col min="23" max="23" width="16.125" style="0" customWidth="1"/>
  </cols>
  <sheetData>
    <row r="1" ht="13.5" thickBot="1"/>
    <row r="2" spans="2:24" ht="18.75" customHeight="1" thickBot="1">
      <c r="B2" s="216" t="s">
        <v>49</v>
      </c>
      <c r="C2" s="82">
        <v>1</v>
      </c>
      <c r="D2" s="83">
        <v>2</v>
      </c>
      <c r="E2" s="83" t="s">
        <v>41</v>
      </c>
      <c r="F2" s="83">
        <v>3</v>
      </c>
      <c r="G2" s="83">
        <v>5</v>
      </c>
      <c r="H2" s="83">
        <v>4</v>
      </c>
      <c r="I2" s="83">
        <v>6</v>
      </c>
      <c r="J2" s="84" t="s">
        <v>41</v>
      </c>
      <c r="K2" s="85" t="s">
        <v>41</v>
      </c>
      <c r="L2" s="207" t="s">
        <v>78</v>
      </c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10"/>
      <c r="X2" s="80"/>
    </row>
    <row r="3" spans="2:24" ht="18" customHeight="1" thickBot="1">
      <c r="B3" s="217"/>
      <c r="C3" s="86">
        <v>1</v>
      </c>
      <c r="D3" s="87">
        <v>2</v>
      </c>
      <c r="E3" s="87">
        <v>3</v>
      </c>
      <c r="F3" s="87">
        <v>4</v>
      </c>
      <c r="G3" s="87" t="s">
        <v>41</v>
      </c>
      <c r="H3" s="87">
        <v>5</v>
      </c>
      <c r="I3" s="87" t="s">
        <v>41</v>
      </c>
      <c r="J3" s="87">
        <v>6</v>
      </c>
      <c r="K3" s="88" t="s">
        <v>41</v>
      </c>
      <c r="L3" s="229" t="s">
        <v>61</v>
      </c>
      <c r="M3" s="229"/>
      <c r="N3" s="229"/>
      <c r="O3" s="229"/>
      <c r="P3" s="229"/>
      <c r="Q3" s="229"/>
      <c r="R3" s="229"/>
      <c r="S3" s="229"/>
      <c r="T3" s="229"/>
      <c r="U3" s="229"/>
      <c r="V3" s="230"/>
      <c r="W3" s="73"/>
      <c r="X3" s="73"/>
    </row>
    <row r="4" spans="2:23" ht="18" customHeight="1" thickBot="1">
      <c r="B4" s="217"/>
      <c r="C4" s="86" t="s">
        <v>42</v>
      </c>
      <c r="D4" s="87" t="s">
        <v>43</v>
      </c>
      <c r="E4" s="87" t="s">
        <v>44</v>
      </c>
      <c r="F4" s="87" t="s">
        <v>45</v>
      </c>
      <c r="G4" s="87" t="s">
        <v>41</v>
      </c>
      <c r="H4" s="87" t="s">
        <v>47</v>
      </c>
      <c r="I4" s="87" t="s">
        <v>41</v>
      </c>
      <c r="J4" s="87" t="s">
        <v>46</v>
      </c>
      <c r="K4" s="88" t="s">
        <v>41</v>
      </c>
      <c r="L4" s="206" t="s">
        <v>62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8"/>
    </row>
    <row r="5" spans="2:23" ht="18" customHeight="1" thickBot="1">
      <c r="B5" s="217"/>
      <c r="C5" s="86" t="s">
        <v>48</v>
      </c>
      <c r="D5" s="87" t="s">
        <v>41</v>
      </c>
      <c r="E5" s="87" t="s">
        <v>41</v>
      </c>
      <c r="F5" s="87" t="s">
        <v>41</v>
      </c>
      <c r="G5" s="87" t="s">
        <v>41</v>
      </c>
      <c r="H5" s="87" t="s">
        <v>41</v>
      </c>
      <c r="I5" s="87" t="s">
        <v>41</v>
      </c>
      <c r="J5" s="87" t="s">
        <v>41</v>
      </c>
      <c r="K5" s="88" t="s">
        <v>41</v>
      </c>
      <c r="L5" s="206" t="s">
        <v>52</v>
      </c>
      <c r="M5" s="207"/>
      <c r="N5" s="207"/>
      <c r="O5" s="207"/>
      <c r="P5" s="207"/>
      <c r="Q5" s="207"/>
      <c r="R5" s="207"/>
      <c r="S5" s="207"/>
      <c r="T5" s="207"/>
      <c r="U5" s="207"/>
      <c r="V5" s="208"/>
      <c r="W5" s="73"/>
    </row>
    <row r="6" spans="2:23" ht="18" customHeight="1" thickBot="1">
      <c r="B6" s="218"/>
      <c r="C6" s="89">
        <v>2</v>
      </c>
      <c r="D6" s="90" t="s">
        <v>41</v>
      </c>
      <c r="E6" s="90" t="s">
        <v>41</v>
      </c>
      <c r="F6" s="90">
        <v>3</v>
      </c>
      <c r="G6" s="90">
        <v>4</v>
      </c>
      <c r="H6" s="90" t="s">
        <v>41</v>
      </c>
      <c r="I6" s="90" t="s">
        <v>41</v>
      </c>
      <c r="J6" s="90" t="s">
        <v>41</v>
      </c>
      <c r="K6" s="91" t="s">
        <v>41</v>
      </c>
      <c r="L6" s="207" t="s">
        <v>56</v>
      </c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8"/>
    </row>
    <row r="7" spans="3:10" ht="12.75">
      <c r="C7" s="1"/>
      <c r="D7" s="1"/>
      <c r="E7" s="1"/>
      <c r="F7" s="1"/>
      <c r="G7" s="1"/>
      <c r="H7" s="1"/>
      <c r="I7" s="1"/>
      <c r="J7" s="1"/>
    </row>
    <row r="8" ht="13.5" thickBot="1">
      <c r="E8" s="7" t="s">
        <v>75</v>
      </c>
    </row>
    <row r="9" spans="2:11" ht="13.5" thickBot="1">
      <c r="B9" s="18" t="s">
        <v>30</v>
      </c>
      <c r="C9" s="223" t="s">
        <v>37</v>
      </c>
      <c r="D9" s="224"/>
      <c r="E9" s="225"/>
      <c r="F9" s="226" t="s">
        <v>29</v>
      </c>
      <c r="G9" s="227"/>
      <c r="H9" s="227"/>
      <c r="I9" s="227"/>
      <c r="J9" s="227"/>
      <c r="K9" s="228"/>
    </row>
    <row r="10" spans="2:11" ht="15.75" customHeight="1" thickBot="1">
      <c r="B10" s="35" t="s">
        <v>27</v>
      </c>
      <c r="C10" s="33" t="s">
        <v>18</v>
      </c>
      <c r="D10" s="53" t="s">
        <v>19</v>
      </c>
      <c r="E10" s="23" t="s">
        <v>20</v>
      </c>
      <c r="F10" s="20" t="s">
        <v>21</v>
      </c>
      <c r="G10" s="21" t="s">
        <v>22</v>
      </c>
      <c r="H10" s="27" t="s">
        <v>23</v>
      </c>
      <c r="I10" s="27" t="s">
        <v>24</v>
      </c>
      <c r="J10" s="22" t="s">
        <v>25</v>
      </c>
      <c r="K10" s="23" t="s">
        <v>26</v>
      </c>
    </row>
    <row r="11" spans="2:11" ht="51.75" thickBot="1">
      <c r="B11" s="35" t="s">
        <v>1</v>
      </c>
      <c r="C11" s="43" t="s">
        <v>9</v>
      </c>
      <c r="D11" s="8" t="s">
        <v>10</v>
      </c>
      <c r="E11" s="3" t="s">
        <v>11</v>
      </c>
      <c r="F11" s="8" t="s">
        <v>2</v>
      </c>
      <c r="G11" s="2" t="s">
        <v>3</v>
      </c>
      <c r="H11" s="2" t="s">
        <v>4</v>
      </c>
      <c r="I11" s="2" t="s">
        <v>6</v>
      </c>
      <c r="J11" s="2" t="s">
        <v>7</v>
      </c>
      <c r="K11" s="3" t="s">
        <v>5</v>
      </c>
    </row>
    <row r="12" spans="1:11" ht="13.5" customHeight="1">
      <c r="A12">
        <v>1</v>
      </c>
      <c r="B12" s="36">
        <v>8</v>
      </c>
      <c r="C12" s="118">
        <f>2*COMBIN(7,7)*COMBIN(13,3)/COMBIN(20,10)*100</f>
        <v>0.30959752321981426</v>
      </c>
      <c r="D12" s="119">
        <f>2*COMBIN(6,6)*COMBIN(14,4)/COMBIN(20,10)*100</f>
        <v>1.08359133126935</v>
      </c>
      <c r="E12" s="60">
        <f>2*COMBIN(5,5)*COMBIN(15,5)/COMBIN(20,10)*100</f>
        <v>3.2507739938080498</v>
      </c>
      <c r="F12" s="119">
        <f>2*COMBIN(1,1)*COMBIN(6,5)*COMBIN(13,4)/COMBIN(20,10)*100+C12</f>
        <v>4.953560371517028</v>
      </c>
      <c r="G12" s="19">
        <f>2*COMBIN(1,1)*COMBIN(6,4)*COMBIN(13,5)/COMBIN(20,10)*100+F12</f>
        <v>25.85139318885449</v>
      </c>
      <c r="H12" s="19">
        <f>2*COMBIN(1,1)*COMBIN(5,4)*COMBIN(14,5)/COMBIN(20,10)*100+D12</f>
        <v>11.91950464396285</v>
      </c>
      <c r="I12" s="19">
        <f>2*COMBIN(1,1)*COMBIN(5,3)*COMBIN(14,6)/COMBIN(20,10)*100+H12</f>
        <v>44.42724458204334</v>
      </c>
      <c r="J12" s="19">
        <f>2*COMBIN(1,1)*COMBIN(4,3)*COMBIN(15,6)/COMBIN(20,10)*100+E12</f>
        <v>24.922600619195048</v>
      </c>
      <c r="K12" s="60">
        <f>2*COMBIN(1,1)*COMBIN(4,2)*COMBIN(15,7)/COMBIN(20,10)*100+J12</f>
        <v>66.71826625386997</v>
      </c>
    </row>
    <row r="13" spans="1:11" ht="12.75">
      <c r="A13">
        <v>2</v>
      </c>
      <c r="B13" s="37">
        <v>710</v>
      </c>
      <c r="C13" s="41">
        <f>(2*COMBIN(6,6)*COMBIN(14,4)+COMBIN(2,1)*COMBIN(4,0)*COMBIN(14,9))/COMBIN(20,10)*100</f>
        <v>3.2507739938080498</v>
      </c>
      <c r="D13" s="28">
        <f>(2*COMBIN(5,5)*COMBIN(15,5)+COMBIN(2,1)*COMBIN(3,0)*COMBIN(15,9))/COMBIN(20,10)*100</f>
        <v>8.6687306501548</v>
      </c>
      <c r="E13" s="17">
        <f>(2*COMBIN(4,4)*COMBIN(16,6)+COMBIN(2,1)*COMBIN(2,0)*COMBIN(16,9))/COMBIN(20,10)*100</f>
        <v>21.052631578947366</v>
      </c>
      <c r="F13" s="28">
        <f>(2*COMBIN(2,2)*COMBIN(4,3)*COMBIN(14,5)+COMBIN(2,1)*COMBIN(4,1)*COMBIN(14,8))/COMBIN(20,10)*100+C13</f>
        <v>24.922600619195048</v>
      </c>
      <c r="G13" s="6">
        <f>(2*COMBIN(2,2)*COMBIN(4,2)*COMBIN(14,6)+COMBIN(2,1)*COMBIN(4,2)*COMBIN(14,7))/COMBIN(20,10)*100+F13</f>
        <v>66.71826625386997</v>
      </c>
      <c r="H13" s="6">
        <f>(2*COMBIN(2,2)*COMBIN(3,2)*COMBIN(15,6)+COMBIN(2,1)*COMBIN(3,2)*COMBIN(15,7))/COMBIN(20,10)*100+D13</f>
        <v>45.82043343653251</v>
      </c>
      <c r="I13" s="6">
        <f>(2*COMBIN(2,2)*COMBIN(3,1)*COMBIN(15,7)+COMBIN(2,1)*COMBIN(3,2)*COMBIN(15,7))/COMBIN(20,10)*100+H13</f>
        <v>87.61609907120743</v>
      </c>
      <c r="J13" s="6">
        <f>(2*COMBIN(2,2)*COMBIN(2,1)*COMBIN(16,7)+COMBIN(2,1)*COMBIN(2,1)*COMBIN(16,8))/COMBIN(20,10)*100+E13</f>
        <v>73.68421052631578</v>
      </c>
      <c r="K13" s="17">
        <f>2*COMBIN(2,2)*COMBIN(2,0)*COMBIN(16,8)/COMBIN(20,10)*100+J13</f>
        <v>87.61609907120742</v>
      </c>
    </row>
    <row r="14" spans="1:11" ht="14.25" customHeight="1">
      <c r="A14">
        <v>3</v>
      </c>
      <c r="B14" s="37" t="s">
        <v>17</v>
      </c>
      <c r="C14" s="41">
        <f>2*COMBIN(4,4)*COMBIN(16,6)/COMBIN(20,10)*100</f>
        <v>8.6687306501548</v>
      </c>
      <c r="D14" s="120" t="s">
        <v>0</v>
      </c>
      <c r="E14" s="121" t="s">
        <v>0</v>
      </c>
      <c r="F14" s="28">
        <f>2*COMBIN(4,4)*COMBIN(16,6)/COMBIN(20,10)*100</f>
        <v>8.6687306501548</v>
      </c>
      <c r="G14" s="6">
        <f>2*COMBIN(4,4)*COMBIN(16,6)/COMBIN(20,10)*100</f>
        <v>8.6687306501548</v>
      </c>
      <c r="H14" s="122" t="s">
        <v>0</v>
      </c>
      <c r="I14" s="122" t="s">
        <v>0</v>
      </c>
      <c r="J14" s="122" t="s">
        <v>0</v>
      </c>
      <c r="K14" s="121" t="s">
        <v>0</v>
      </c>
    </row>
    <row r="15" spans="1:11" ht="12.75">
      <c r="A15">
        <v>4</v>
      </c>
      <c r="B15" s="37">
        <v>89</v>
      </c>
      <c r="C15" s="41">
        <f>2*(COMBIN(6,6)*COMBIN(14,4)+COMBIN(1,1)*COMBIN(5,4)*COMBIN(14,5))/COMBIN(20,10)*100</f>
        <v>11.91950464396285</v>
      </c>
      <c r="D15" s="28">
        <f>2*(COMBIN(5,5)*COMBIN(15,5)+COMBIN(1,1)*COMBIN(4,3)*COMBIN(15,6))/COMBIN(20,10)*100</f>
        <v>24.922600619195045</v>
      </c>
      <c r="E15" s="17">
        <f>2*(COMBIN(4,4)*COMBIN(16,6)+COMBIN(1,1)*COMBIN(3,2)*COMBIN(16,7))/COMBIN(20,10)*100</f>
        <v>45.82043343653251</v>
      </c>
      <c r="F15" s="28">
        <f>2*COMBIN(1,1)*COMBIN(5,3)*COMBIN(14,6)/COMBIN(20,10)*100+C15</f>
        <v>44.42724458204334</v>
      </c>
      <c r="G15" s="6">
        <f>2*COMBIN(1,1)*COMBIN(5,2)*COMBIN(14,7)/COMBIN(20,10)*100+F15</f>
        <v>81.57894736842105</v>
      </c>
      <c r="H15" s="6">
        <f>2*COMBIN(1,1)*COMBIN(4,2)*COMBIN(15,7)/COMBIN(20,10)*100+D15</f>
        <v>66.71826625386996</v>
      </c>
      <c r="I15" s="6">
        <f>2*COMBIN(1,1)*COMBIN(4,1)*COMBIN(15,8)/COMBIN(20,10)*100+H15</f>
        <v>94.58204334365323</v>
      </c>
      <c r="J15" s="6">
        <f>2*COMBIN(1,1)*COMBIN(3,1)*COMBIN(16,8)/COMBIN(20,10)*100+E15</f>
        <v>87.61609907120743</v>
      </c>
      <c r="K15" s="17">
        <f>2*COMBIN(1,1)*COMBIN(3,1)*COMBIN(16,8)/COMBIN(20,10)*100+E15</f>
        <v>87.61609907120743</v>
      </c>
    </row>
    <row r="16" spans="1:11" ht="12.75">
      <c r="A16">
        <v>5</v>
      </c>
      <c r="B16" s="81">
        <v>810</v>
      </c>
      <c r="C16" s="41">
        <f>(2*COMBIN(6,6)*COMBIN(14,4)+2*COMBIN(1,1)*COMBIN(5,4)*COMBIN(14,5)+COMBIN(1,1)*COMBIN(5,0)*COMBIN(14,9))/COMBIN(20,10)*100</f>
        <v>13.003095975232199</v>
      </c>
      <c r="D16" s="28">
        <f>(2*COMBIN(5,5)*COMBIN(15,5)+2*COMBIN(1,1)*COMBIN(4,3)*COMBIN(15,6)+COMBIN(1,1)*COMBIN(4,0)*COMBIN(15,9))/COMBIN(20,10)*100</f>
        <v>27.631578947368425</v>
      </c>
      <c r="E16" s="17">
        <f>(2*COMBIN(4,4)*COMBIN(16,6)+2*COMBIN(1,1)*COMBIN(3,2)*COMBIN(16,7)+COMBIN(1,1)*COMBIN(3,0)*COMBIN(16,9))/COMBIN(20,10)*100</f>
        <v>52.012383900928796</v>
      </c>
      <c r="F16" s="28">
        <f>(2*COMBIN(1,1)*COMBIN(5,3)*COMBIN(14,6)+COMBIN(1,1)*COMBIN(1,0)*COMBIN(4,1)*COMBIN(14,8))/COMBIN(20,10)*100+C16</f>
        <v>52.01238390092878</v>
      </c>
      <c r="G16" s="6">
        <f>2*COMBIN(1,1)*COMBIN(5,2)*COMBIN(14,7)/COMBIN(20,10)*100+F16</f>
        <v>89.1640866873065</v>
      </c>
      <c r="H16" s="6">
        <f>(2*COMBIN(1,1)*COMBIN(4,2)*COMBIN(15,7)+COMBIN(1,1)*COMBIN(1,0)*COMBIN(3,1)*COMBIN(15,8))/COMBIN(20,10)*100+D16</f>
        <v>79.87616099071207</v>
      </c>
      <c r="I16" s="6">
        <f>(2*COMBIN(1,1)*COMBIN(4,1)*COMBIN(15,8)-COMBIN(1,1)*COMBIN(1,0)*COMBIN(3,1)*COMBIN(15,8))/COMBIN(20,10)*100+H16</f>
        <v>97.29102167182661</v>
      </c>
      <c r="J16" s="6">
        <f>2*COMBIN(1,1)*COMBIN(3,1)*COMBIN(16,8)/COMBIN(20,10)*100+E16</f>
        <v>93.80804953560371</v>
      </c>
      <c r="K16" s="17">
        <f>2*COMBIN(1,1)*COMBIN(3,1)*COMBIN(16,8)/COMBIN(20,10)*100+E16</f>
        <v>93.80804953560371</v>
      </c>
    </row>
    <row r="17" spans="1:11" ht="12.75">
      <c r="A17">
        <v>6</v>
      </c>
      <c r="B17" s="81" t="s">
        <v>32</v>
      </c>
      <c r="C17" s="41">
        <f>2*COMBIN(3,3)*COMBIN(17,7)/COMBIN(20,10)*100</f>
        <v>21.052631578947366</v>
      </c>
      <c r="D17" s="120" t="s">
        <v>0</v>
      </c>
      <c r="E17" s="121" t="s">
        <v>0</v>
      </c>
      <c r="F17" s="28">
        <f>2*COMBIN(3,3)*COMBIN(17,7)/COMBIN(20,10)*100</f>
        <v>21.052631578947366</v>
      </c>
      <c r="G17" s="6">
        <f>2*COMBIN(3,3)*COMBIN(17,7)/COMBIN(20,10)*100</f>
        <v>21.052631578947366</v>
      </c>
      <c r="H17" s="122" t="s">
        <v>0</v>
      </c>
      <c r="I17" s="122" t="s">
        <v>0</v>
      </c>
      <c r="J17" s="122" t="s">
        <v>0</v>
      </c>
      <c r="K17" s="121" t="s">
        <v>0</v>
      </c>
    </row>
    <row r="18" spans="1:11" ht="12.75">
      <c r="A18">
        <v>7</v>
      </c>
      <c r="B18" s="81" t="s">
        <v>8</v>
      </c>
      <c r="C18" s="41">
        <f>(2*COMBIN(5,5)*COMBIN(15,5)+COMBIN(3,1)*COMBIN(2,0)*COMBIN(15,9)+COMBIN(3,2)*COMBIN(2,0)*COMBIN(15,8))/COMBIN(20,10)*100</f>
        <v>21.826625386996902</v>
      </c>
      <c r="D18" s="28">
        <f>(2*COMBIN(4,4)*COMBIN(16,6)+COMBIN(3,1)*COMBIN(1,0)*COMBIN(16,9))/COMBIN(20,10)*100</f>
        <v>27.24458204334365</v>
      </c>
      <c r="E18" s="17">
        <f>2*COMBIN(3,3)*COMBIN(17,7)/COMBIN(20,10)*100</f>
        <v>21.052631578947366</v>
      </c>
      <c r="F18" s="28">
        <f>(2*COMBIN(3,3)*COMBIN(2,1)*COMBIN(15,6)+COMBIN(3,1)*COMBIN(2,1)*COMBIN(15,8))/COMBIN(20,10)*100+C18</f>
        <v>53.56037151702786</v>
      </c>
      <c r="G18" s="6">
        <f>2*COMBIN(3,3)*COMBIN(2,0)*COMBIN(15,7)/COMBIN(20,10)*100+F18</f>
        <v>60.52631578947368</v>
      </c>
      <c r="H18" s="6">
        <f>2*COMBIN(3,3)*COMBIN(1,0)*COMBIN(16,7)/COMBIN(20,10)*100+D18</f>
        <v>39.628482972136226</v>
      </c>
      <c r="I18" s="6">
        <f>2*COMBIN(3,3)*COMBIN(1,0)*COMBIN(16,7)/COMBIN(20,10)*100+D18</f>
        <v>39.628482972136226</v>
      </c>
      <c r="J18" s="6">
        <f>E18</f>
        <v>21.052631578947366</v>
      </c>
      <c r="K18" s="17">
        <f>E18</f>
        <v>21.052631578947366</v>
      </c>
    </row>
    <row r="19" spans="1:11" ht="12.75">
      <c r="A19">
        <v>8</v>
      </c>
      <c r="B19" s="81" t="s">
        <v>13</v>
      </c>
      <c r="C19" s="41">
        <f>(2*COMBIN(4,4)*COMBIN(16,6)+COMBIN(3,1)*COMBIN(1,0)*COMBIN(16,9))/COMBIN(20,10)*100</f>
        <v>27.24458204334365</v>
      </c>
      <c r="D19" s="28">
        <f>2*COMBIN(3,3)*COMBIN(17,7)/COMBIN(20,10)*100</f>
        <v>21.052631578947366</v>
      </c>
      <c r="E19" s="121" t="s">
        <v>0</v>
      </c>
      <c r="F19" s="28">
        <f>2*COMBIN(3,3)*COMBIN(1,0)*COMBIN(16,7)/COMBIN(20,10)*100+C19</f>
        <v>39.628482972136226</v>
      </c>
      <c r="G19" s="6">
        <f>2*COMBIN(3,3)*COMBIN(1,0)*COMBIN(16,7)/COMBIN(20,10)*100+C19</f>
        <v>39.628482972136226</v>
      </c>
      <c r="H19" s="6">
        <f>2*COMBIN(3,3)*COMBIN(17,7)/COMBIN(20,10)*100</f>
        <v>21.052631578947366</v>
      </c>
      <c r="I19" s="6">
        <f>2*COMBIN(3,3)*COMBIN(17,7)/COMBIN(20,10)*100</f>
        <v>21.052631578947366</v>
      </c>
      <c r="J19" s="122" t="s">
        <v>0</v>
      </c>
      <c r="K19" s="121" t="s">
        <v>0</v>
      </c>
    </row>
    <row r="20" spans="1:11" ht="12.75">
      <c r="A20">
        <v>9</v>
      </c>
      <c r="B20" s="81" t="s">
        <v>12</v>
      </c>
      <c r="C20" s="41">
        <f>100-(2*COMBIN(3,3)*(COMBIN(17,7)-COMBIN(3,3)*COMBIN(14,4))+COMBIN(3,1)*(COMBIN(17,9)-COMBIN(3,0)*COMBIN(14,9)))/COMBIN(20,10)*100</f>
        <v>43.80804953560371</v>
      </c>
      <c r="D20" s="28">
        <f>100-(2*COMBIN(3,3)*(COMBIN(2,0)*COMBIN(15,7)+COMBIN(2,1)*COMBIN(15,6))+COMBIN(3,1)*(COMBIN(2,1)*COMBIN(15,8)+COMBIN(2,2)*COMBIN(15,7)))/COMBIN(20,10)*100</f>
        <v>50.8513931888545</v>
      </c>
      <c r="E20" s="17">
        <f>100-(2*COMBIN(3,3)*COMBIN(1,0)*COMBIN(16,7)+COMBIN(3,1)*COMBIN(1,1)*COMBIN(16,8))/COMBIN(20,10)*100</f>
        <v>66.71826625386997</v>
      </c>
      <c r="F20" s="28">
        <f>(2*COMBIN(3,3)*COMBIN(3,2)*COMBIN(14,5)+COMBIN(3,1)*COMBIN(3,1)*COMBIN(14,8))/COMBIN(20,10)*100+C20</f>
        <v>64.93808049535603</v>
      </c>
      <c r="G20" s="6">
        <f>(2*COMBIN(3,3)*COMBIN(3,1)*COMBIN(14,6)+COMBIN(3,1)*COMBIN(3,2)*COMBIN(14,7))/COMBIN(20,10)*100+F20</f>
        <v>91.40866873065015</v>
      </c>
      <c r="H20" s="4">
        <f>(2*COMBIN(3,3)*COMBIN(2,1)*COMBIN(15,6)+COMBIN(3,1)*COMBIN(2,1)*COMBIN(15,8))/COMBIN(20,10)*100+D20</f>
        <v>82.58513931888545</v>
      </c>
      <c r="I20" s="16">
        <f>(2*COMBIN(3,3)*COMBIN(2,0)*COMBIN(15,7)+COMBIN(3,1)*COMBIN(2,2)*COMBIN(15,7))/COMBIN(20,10)*100+H20</f>
        <v>100</v>
      </c>
      <c r="J20" s="6">
        <v>100</v>
      </c>
      <c r="K20" s="17">
        <v>100</v>
      </c>
    </row>
    <row r="21" spans="1:11" ht="12.75">
      <c r="A21">
        <v>10</v>
      </c>
      <c r="B21" s="81" t="s">
        <v>15</v>
      </c>
      <c r="C21" s="41">
        <f>(2*COMBIN(5,5)*COMBIN(15,5)+2*COMBIN(2,2)*COMBIN(3,2)*COMBIN(15,6)+COMBIN(2,1)*COMBIN(3,2)*COMBIN(15,7)+COMBIN(2,1)*COMBIN(3,0)*COMBIN(15,9))/COMBIN(20,10)*100</f>
        <v>45.82043343653251</v>
      </c>
      <c r="D21" s="28">
        <f>(2*COMBIN(4,4)*COMBIN(16,6)+2*COMBIN(2,2)*COMBIN(2,1)*COMBIN(16,7)+COMBIN(2,1)*COMBIN(2,2)*COMBIN(16,7))/COMBIN(20,10)*100</f>
        <v>45.82043343653251</v>
      </c>
      <c r="E21" s="17">
        <f>(2*COMBIN(3,3)*COMBIN(17,7)+COMBIN(2,1)*COMBIN(1,0)*COMBIN(17,9))/COMBIN(20,10)*100</f>
        <v>47.368421052631575</v>
      </c>
      <c r="F21" s="28">
        <f>2*COMBIN(2,2)*COMBIN(3,1)*COMBIN(15,7)/COMBIN(20,10)*100+C21</f>
        <v>66.71826625386997</v>
      </c>
      <c r="G21" s="6">
        <f>COMBIN(2,1)*COMBIN(3,2)*COMBIN(15,7)/COMBIN(20,10)*100+F21</f>
        <v>87.61609907120743</v>
      </c>
      <c r="H21" s="6">
        <f>COMBIN(2,1)*COMBIN(2,1)*COMBIN(16,8)/COMBIN(20,10)*100+D21</f>
        <v>73.68421052631578</v>
      </c>
      <c r="I21" s="6">
        <f>2*COMBIN(2,2)*COMBIN(2,0)*COMBIN(16,8)/COMBIN(20,10)*100+H21</f>
        <v>87.61609907120742</v>
      </c>
      <c r="J21" s="6">
        <f>2*COMBIN(2,2)*COMBIN(1,0)*COMBIN(17,8)/COMBIN(20,10)*100+E21</f>
        <v>73.68421052631578</v>
      </c>
      <c r="K21" s="17">
        <f>2*COMBIN(2,2)*COMBIN(1,0)*COMBIN(17,8)/COMBIN(20,10)*100+E21</f>
        <v>73.68421052631578</v>
      </c>
    </row>
    <row r="22" spans="1:12" ht="12.75">
      <c r="A22">
        <v>11</v>
      </c>
      <c r="B22" s="81" t="s">
        <v>28</v>
      </c>
      <c r="C22" s="41">
        <f>(2*COMBIN(4,4)*COMBIN(16,6)+2*COMBIN(2,2)*COMBIN(2,1)*COMBIN(16,7)+COMBIN(2,1)*COMBIN(2,0)*COMBIN(16,9))/COMBIN(20,10)*100</f>
        <v>45.82043343653251</v>
      </c>
      <c r="D22" s="28">
        <f>(2*COMBIN(3,3)*COMBIN(17,7)+COMBIN(2,1)*COMBIN(1,0)*COMBIN(17,9))/COMBIN(20,10)*100</f>
        <v>47.368421052631575</v>
      </c>
      <c r="E22" s="17">
        <f>2*COMBIN(2,2)*COMBIN(18,8)/COMBIN(20,10)*100</f>
        <v>47.368421052631575</v>
      </c>
      <c r="F22" s="28">
        <f>COMBIN(2,1)*COMBIN(2,1)*COMBIN(16,8)/COMBIN(20,10)*100+C22</f>
        <v>73.68421052631578</v>
      </c>
      <c r="G22" s="6">
        <f>2*COMBIN(2,2)*COMBIN(2,0)*COMBIN(16,8)/COMBIN(20,10)*100+F22</f>
        <v>87.61609907120742</v>
      </c>
      <c r="H22" s="6">
        <f>2*COMBIN(2,2)*COMBIN(1,0)*COMBIN(17,8)/COMBIN(20,10)*100+D22</f>
        <v>73.68421052631578</v>
      </c>
      <c r="I22" s="6">
        <f>2*COMBIN(2,2)*COMBIN(1,0)*COMBIN(17,8)/COMBIN(20,10)*100+E22</f>
        <v>73.68421052631578</v>
      </c>
      <c r="J22" s="6">
        <f>2*COMBIN(2,2)*COMBIN(18,8)/COMBIN(20,10)*100</f>
        <v>47.368421052631575</v>
      </c>
      <c r="K22" s="17">
        <f>2*COMBIN(2,2)*COMBIN(18,8)/COMBIN(20,10)*100</f>
        <v>47.368421052631575</v>
      </c>
      <c r="L22" s="71"/>
    </row>
    <row r="23" spans="1:12" ht="12.75">
      <c r="A23">
        <v>12</v>
      </c>
      <c r="B23" s="81" t="s">
        <v>50</v>
      </c>
      <c r="C23" s="41">
        <f>(2*COMBIN(4,4)*COMBIN(16,6)+2*COMBIN(2,2)*COMBIN(2,1)*COMBIN(16,7)+COMBIN(2,1)*COMBIN(2,0)*COMBIN(16,9))/COMBIN(20,10)*100</f>
        <v>45.82043343653251</v>
      </c>
      <c r="D23" s="28">
        <f>(2*COMBIN(3,3)*COMBIN(17,7)+COMBIN(2,1)*COMBIN(1,0)*COMBIN(17,9))/COMBIN(20,10)*100</f>
        <v>47.368421052631575</v>
      </c>
      <c r="E23" s="121" t="s">
        <v>0</v>
      </c>
      <c r="F23" s="28">
        <f>COMBIN(2,1)*COMBIN(2,1)*COMBIN(16,8)/COMBIN(20,10)*100+C23</f>
        <v>73.68421052631578</v>
      </c>
      <c r="G23" s="6">
        <f>2*COMBIN(2,2)*COMBIN(2,0)*COMBIN(16,8)/COMBIN(20,10)*100+F23</f>
        <v>87.61609907120742</v>
      </c>
      <c r="H23" s="6">
        <f>2*COMBIN(2,2)*COMBIN(1,0)*COMBIN(17,8)/COMBIN(20,10)*100+D23</f>
        <v>73.68421052631578</v>
      </c>
      <c r="I23" s="6">
        <f>2*COMBIN(2,2)*COMBIN(1,0)*COMBIN(17,8)/COMBIN(20,10)*100+D23</f>
        <v>73.68421052631578</v>
      </c>
      <c r="J23" s="122" t="s">
        <v>0</v>
      </c>
      <c r="K23" s="121" t="s">
        <v>0</v>
      </c>
      <c r="L23" s="71"/>
    </row>
    <row r="24" spans="1:11" ht="12.75">
      <c r="A24">
        <v>13</v>
      </c>
      <c r="B24" s="81" t="s">
        <v>31</v>
      </c>
      <c r="C24" s="41">
        <f>(2*COMBIN(3,3)*COMBIN(17,7)+COMBIN(2,1)*COMBIN(1,0)*COMBIN(17,9))/COMBIN(20,10)*100</f>
        <v>47.368421052631575</v>
      </c>
      <c r="D24" s="28">
        <f>2*COMBIN(2,2)*COMBIN(18,8)/COMBIN(20,10)*100</f>
        <v>47.368421052631575</v>
      </c>
      <c r="E24" s="121" t="s">
        <v>0</v>
      </c>
      <c r="F24" s="28">
        <f>2*COMBIN(2,2)*COMBIN(1,0)*COMBIN(17,8)/COMBIN(20,10)*100+C24</f>
        <v>73.68421052631578</v>
      </c>
      <c r="G24" s="6">
        <f>2*COMBIN(2,2)*COMBIN(1,0)*COMBIN(17,8)/COMBIN(20,10)*100+D24</f>
        <v>73.68421052631578</v>
      </c>
      <c r="H24" s="6">
        <f>2*COMBIN(2,2)*COMBIN(18,8)/COMBIN(20,10)*100</f>
        <v>47.368421052631575</v>
      </c>
      <c r="I24" s="6">
        <f>2*COMBIN(2,2)*COMBIN(18,8)/COMBIN(20,10)*100</f>
        <v>47.368421052631575</v>
      </c>
      <c r="J24" s="122" t="s">
        <v>0</v>
      </c>
      <c r="K24" s="121" t="s">
        <v>0</v>
      </c>
    </row>
    <row r="25" spans="1:11" ht="12.75">
      <c r="A25">
        <v>14</v>
      </c>
      <c r="B25" s="81" t="s">
        <v>33</v>
      </c>
      <c r="C25" s="41">
        <f>2*COMBIN(2,2)*COMBIN(18,8)/COMBIN(20,10)*100</f>
        <v>47.368421052631575</v>
      </c>
      <c r="D25" s="120" t="s">
        <v>0</v>
      </c>
      <c r="E25" s="121" t="s">
        <v>0</v>
      </c>
      <c r="F25" s="28">
        <f>2*COMBIN(2,2)*COMBIN(18,8)/COMBIN(20,10)*100</f>
        <v>47.368421052631575</v>
      </c>
      <c r="G25" s="6">
        <f>2*COMBIN(2,2)*COMBIN(18,8)/COMBIN(20,10)*100</f>
        <v>47.368421052631575</v>
      </c>
      <c r="H25" s="122" t="s">
        <v>0</v>
      </c>
      <c r="I25" s="122" t="s">
        <v>0</v>
      </c>
      <c r="J25" s="122" t="s">
        <v>0</v>
      </c>
      <c r="K25" s="121" t="s">
        <v>0</v>
      </c>
    </row>
    <row r="26" spans="1:11" ht="12.75">
      <c r="A26">
        <v>15</v>
      </c>
      <c r="B26" s="81" t="s">
        <v>51</v>
      </c>
      <c r="C26" s="41">
        <f>(2*COMBIN(3,3)*COMBIN(17,7)+COMBIN(2,1)*COMBIN(1,0)*COMBIN(17,9))/COMBIN(20,10)*100</f>
        <v>47.368421052631575</v>
      </c>
      <c r="D26" s="120" t="s">
        <v>0</v>
      </c>
      <c r="E26" s="121" t="s">
        <v>0</v>
      </c>
      <c r="F26" s="28">
        <f>2*COMBIN(2,2)*COMBIN(1,0)*COMBIN(17,8)/COMBIN(20,10)*100+C26</f>
        <v>73.68421052631578</v>
      </c>
      <c r="G26" s="28">
        <f>2*COMBIN(2,2)*COMBIN(1,0)*COMBIN(17,8)/COMBIN(20,10)*100+C26</f>
        <v>73.68421052631578</v>
      </c>
      <c r="H26" s="120" t="s">
        <v>0</v>
      </c>
      <c r="I26" s="122" t="s">
        <v>0</v>
      </c>
      <c r="J26" s="122" t="s">
        <v>0</v>
      </c>
      <c r="K26" s="121" t="s">
        <v>0</v>
      </c>
    </row>
    <row r="27" spans="1:11" ht="12.75">
      <c r="A27">
        <v>16</v>
      </c>
      <c r="B27" s="108" t="s">
        <v>40</v>
      </c>
      <c r="C27" s="99">
        <f>(2*COMBIN(5,5)*COMBIN(15,5)+2*COMBIN(2,2)*COMBIN(3,2)*COMBIN(15,6)+COMBIN(2,1)*COMBIN(3,2)*COMBIN(15,7)+COMBIN(2,1)*COMBIN(3,0)*COMBIN(15,9)+COMBIN(2,2)*COMBIN(3,0)*COMBIN(15,8))/COMBIN(20,10)*100</f>
        <v>49.303405572755416</v>
      </c>
      <c r="D27" s="94">
        <f>(2*COMBIN(4,4)*COMBIN(16,6)+2*COMBIN(2,2)*COMBIN(2,1)*COMBIN(16,7)+COMBIN(2,1)*COMBIN(2,2)*COMBIN(16,7))/COMBIN(20,10)*100</f>
        <v>45.82043343653251</v>
      </c>
      <c r="E27" s="100">
        <f>(2*COMBIN(3,3)*COMBIN(17,7)+COMBIN(2,1)*COMBIN(1,0)*COMBIN(17,9))/COMBIN(20,10)*100</f>
        <v>47.368421052631575</v>
      </c>
      <c r="F27" s="94">
        <f>2*COMBIN(2,2)*COMBIN(3,1)*COMBIN(15,7)/COMBIN(20,10)*100+C27</f>
        <v>70.20123839009287</v>
      </c>
      <c r="G27" s="76">
        <f>COMBIN(2,1)*COMBIN(3,2)*COMBIN(15,7)/COMBIN(20,10)*100+F27</f>
        <v>91.09907120743033</v>
      </c>
      <c r="H27" s="76">
        <f>COMBIN(2,1)*COMBIN(2,1)*COMBIN(16,8)/COMBIN(20,10)*100+D27</f>
        <v>73.68421052631578</v>
      </c>
      <c r="I27" s="76">
        <f>2*COMBIN(2,2)*COMBIN(2,0)*COMBIN(16,8)/COMBIN(20,10)*100+H27</f>
        <v>87.61609907120742</v>
      </c>
      <c r="J27" s="6">
        <f>2*COMBIN(2,2)*COMBIN(1,0)*COMBIN(17,8)/COMBIN(20,10)*100+E27</f>
        <v>73.68421052631578</v>
      </c>
      <c r="K27" s="17">
        <f>2*COMBIN(2,2)*COMBIN(1,0)*COMBIN(17,8)/COMBIN(20,10)*100+E27</f>
        <v>73.68421052631578</v>
      </c>
    </row>
    <row r="28" spans="1:12" ht="12.75">
      <c r="A28">
        <v>17</v>
      </c>
      <c r="B28" s="81" t="s">
        <v>39</v>
      </c>
      <c r="C28" s="95">
        <f>100-(2*COMBIN(3,3)*(COMBIN(3,0)*COMBIN(14,7)+COMBIN(3,1)*COMBIN(14,6))+COMBIN(3,1)*(COMBIN(3,1)*COMBIN(14,8)+COMBIN(3,2)*COMBIN(14,7)+COMBIN(3,3)*COMBIN(14,6)))/COMBIN(20,10)*100</f>
        <v>50.309597523219814</v>
      </c>
      <c r="D28" s="28">
        <f>100-(2*COMBIN(3,3)*COMBIN(2,0)*COMBIN(15,7)+COMBIN(3,1)*(COMBIN(2,1)*COMBIN(15,8)+COMBIN(2,2)*COMBIN(15,7)))/COMBIN(20,10)*100</f>
        <v>61.687306501547994</v>
      </c>
      <c r="E28" s="67">
        <f>100-COMBIN(3,1)*COMBIN(1,1)*COMBIN(16,8)/COMBIN(20,10)*100</f>
        <v>79.10216718266254</v>
      </c>
      <c r="F28" s="50">
        <f>100-(2*COMBIN(3,3)*COMBIN(3,0)*COMBIN(14,7)+COMBIN(3,1)*COMBIN(3,2)*COMBIN(14,7)+COMBIN(2,1)*COMBIN(1,0)*COMBIN(3,3)*COMBIN(14,6))/COMBIN(20,10)*100</f>
        <v>76.31578947368422</v>
      </c>
      <c r="G28" s="4">
        <f>100-(COMBIN(1,1)*COMBIN(2,1)*COMBIN(3,0)*COMBIN(14,8))/COMBIN(20,10)*100</f>
        <v>96.74922600619195</v>
      </c>
      <c r="H28" s="6">
        <f>100-COMBIN(2,1)*COMBIN(1,0)*COMBIN(2,2)*COMBIN(15,7)/COMBIN(20,10)*100</f>
        <v>93.03405572755418</v>
      </c>
      <c r="I28" s="6">
        <v>100</v>
      </c>
      <c r="J28" s="6">
        <v>100</v>
      </c>
      <c r="K28" s="17">
        <v>100</v>
      </c>
      <c r="L28" s="71"/>
    </row>
    <row r="29" spans="1:12" ht="12.75">
      <c r="A29">
        <v>18</v>
      </c>
      <c r="B29" s="81">
        <v>9</v>
      </c>
      <c r="C29" s="41">
        <f>(2*COMBIN(7,7)*COMBIN(13,3)+COMBIN(2,1)*COMBIN(18,9))/COMBIN(20,10)*100</f>
        <v>52.941176470588225</v>
      </c>
      <c r="D29" s="28">
        <f>(2*COMBIN(6,6)*COMBIN(14,4)+COMBIN(2,1)*COMBIN(18,9))/COMBIN(20,10)*100</f>
        <v>53.71517027863776</v>
      </c>
      <c r="E29" s="17">
        <f>(2*COMBIN(5,5)*COMBIN(15,5)+COMBIN(2,1)*COMBIN(18,9))/COMBIN(20,10)*100</f>
        <v>55.882352941176464</v>
      </c>
      <c r="F29" s="28">
        <f>2*COMBIN(2,2)*COMBIN(5,4)*COMBIN(13,4)/COMBIN(20,10)*100+C29</f>
        <v>56.8111455108359</v>
      </c>
      <c r="G29" s="6">
        <f>2*COMBIN(2,2)*COMBIN(5,3)*COMBIN(13,5)/COMBIN(20,10)*100+F29</f>
        <v>70.74303405572753</v>
      </c>
      <c r="H29" s="6">
        <f>2*COMBIN(2,2)*COMBIN(4,3)*COMBIN(14,5)/COMBIN(20,10)*100+D29</f>
        <v>62.383900928792556</v>
      </c>
      <c r="I29" s="6">
        <f>2*COMBIN(2,2)*COMBIN(4,2)*COMBIN(14,6)/COMBIN(20,10)*100+H29</f>
        <v>81.88854489164085</v>
      </c>
      <c r="J29" s="6">
        <f>2*COMBIN(2,2)*COMBIN(3,2)*COMBIN(15,6)/COMBIN(20,10)*100+E29</f>
        <v>72.1362229102167</v>
      </c>
      <c r="K29" s="17">
        <f>2*COMBIN(2,2)*COMBIN(3,1)*COMBIN(15,7)/COMBIN(20,10)*100+J29</f>
        <v>93.03405572755416</v>
      </c>
      <c r="L29" s="71"/>
    </row>
    <row r="30" spans="1:11" ht="12.75">
      <c r="A30">
        <v>19</v>
      </c>
      <c r="B30" s="81" t="s">
        <v>14</v>
      </c>
      <c r="C30" s="41">
        <f>2*(COMBIN(4,4)*COMBIN(16,6)+COMBIN(4,3)*COMBIN(16,7))/COMBIN(20,10)*100</f>
        <v>58.204334365325074</v>
      </c>
      <c r="D30" s="123">
        <f>2*COMBIN(3,3)*COMBIN(17,7)/COMBIN(20,10)*100</f>
        <v>21.052631578947366</v>
      </c>
      <c r="E30" s="124" t="s">
        <v>0</v>
      </c>
      <c r="F30" s="51">
        <f>2*(COMBIN(4,4)*COMBIN(16,6)+COMBIN(4,3)*COMBIN(16,7))/COMBIN(20,10)*100</f>
        <v>58.204334365325074</v>
      </c>
      <c r="G30" s="67">
        <f>2*(COMBIN(4,4)*COMBIN(16,6)+COMBIN(4,3)*COMBIN(16,7))/COMBIN(20,10)*100</f>
        <v>58.204334365325074</v>
      </c>
      <c r="H30" s="6">
        <f>2*COMBIN(3,3)*COMBIN(17,7)/COMBIN(20,10)*100</f>
        <v>21.052631578947366</v>
      </c>
      <c r="I30" s="117">
        <f>2*COMBIN(3,3)*COMBIN(17,7)/COMBIN(20,10)*100</f>
        <v>21.052631578947366</v>
      </c>
      <c r="J30" s="122" t="s">
        <v>0</v>
      </c>
      <c r="K30" s="121" t="s">
        <v>0</v>
      </c>
    </row>
    <row r="31" spans="1:11" ht="12.75">
      <c r="A31">
        <v>20</v>
      </c>
      <c r="B31" s="162" t="s">
        <v>16</v>
      </c>
      <c r="C31" s="113">
        <f>(2*COMBIN(5,5)*COMBIN(15,5)+2*COMBIN(4,1)*COMBIN(1,0)*COMBIN(15,9)+COMBIN(4,2)*COMBIN(1,0)*COMBIN(15,8)+COMBIN(4,3)*COMBIN(1,0)*COMBIN(15,7))/COMBIN(20,10)*100</f>
        <v>59.75232198142415</v>
      </c>
      <c r="D31" s="114">
        <f>(2*COMBIN(4,4)*COMBIN(16,6)+2*COMBIN(4,1)*COMBIN(16,9))/COMBIN(20,10)*100</f>
        <v>58.204334365325074</v>
      </c>
      <c r="E31" s="121" t="s">
        <v>0</v>
      </c>
      <c r="F31" s="114">
        <f>(2*COMBIN(1,1)*COMBIN(4,0)*COMBIN(15,9)+COMBIN(4,3)*COMBIN(1,0)*COMBIN(15,7))/COMBIN(20,10)*100+C31</f>
        <v>79.10216718266254</v>
      </c>
      <c r="G31" s="115">
        <f>F31</f>
        <v>79.10216718266254</v>
      </c>
      <c r="H31" s="115">
        <f>D31</f>
        <v>58.204334365325074</v>
      </c>
      <c r="I31" s="115">
        <f>H31</f>
        <v>58.204334365325074</v>
      </c>
      <c r="J31" s="122" t="s">
        <v>0</v>
      </c>
      <c r="K31" s="121" t="s">
        <v>0</v>
      </c>
    </row>
    <row r="32" spans="1:12" ht="12.75">
      <c r="A32">
        <v>21</v>
      </c>
      <c r="B32" s="81" t="s">
        <v>38</v>
      </c>
      <c r="C32" s="41">
        <f>100-(2*COMBIN(4,4)*(COMBIN(2,0)*COMBIN(14,6)+COMBIN(2,1)*COMBIN(14,5))+COMBIN(4,1)*(COMBIN(2,1)*COMBIN(14,8)+COMBIN(2,2)*COMBIN(14,7)))/COMBIN(20,10)*100</f>
        <v>71.9814241486068</v>
      </c>
      <c r="D32" s="126">
        <f>100-(2*COMBIN(4,4)*COMBIN(1,0)*COMBIN(15,6)+COMBIN(1,1)*COMBIN(4,1)*COMBIN(15,8))/COMBIN(20,10)*100</f>
        <v>80.6501547987616</v>
      </c>
      <c r="E32" s="17">
        <v>100</v>
      </c>
      <c r="F32" s="28">
        <f>100-(2*COMBIN(4,4)*COMBIN(2,0)*COMBIN(14,6)+COMBIN(4,1)*COMBIN(2,2)*COMBIN(14,7))/COMBIN(20,10)*100</f>
        <v>89.3188854489164</v>
      </c>
      <c r="G32" s="67">
        <v>100</v>
      </c>
      <c r="H32" s="67">
        <v>100</v>
      </c>
      <c r="I32" s="6">
        <v>100</v>
      </c>
      <c r="J32" s="6">
        <v>100</v>
      </c>
      <c r="K32" s="17">
        <v>100</v>
      </c>
      <c r="L32" s="71"/>
    </row>
    <row r="33" spans="1:11" ht="12.75">
      <c r="A33">
        <v>22</v>
      </c>
      <c r="B33" s="81" t="s">
        <v>53</v>
      </c>
      <c r="C33" s="40">
        <f>(2*COMBIN(5,5)*COMBIN(15,5)+2*COMBIN(5,4)*COMBIN(15,6)+COMBIN(4,2)*COMBIN(1,0)*COMBIN(15,8)+3*COMBIN(2,1)*COMBIN(1,1)*COMBIN(2,0)*COMBIN(15,8))/COMBIN(20,10)*100</f>
        <v>72.13622291021672</v>
      </c>
      <c r="D33" s="28">
        <f>2*(COMBIN(4,4)*COMBIN(16,6)+COMBIN(4,3)*COMBIN(16,7))/COMBIN(20,10)*100</f>
        <v>58.204334365325074</v>
      </c>
      <c r="E33" s="121" t="s">
        <v>0</v>
      </c>
      <c r="F33" s="9">
        <f>(COMBIN(2,1)*COMBIN(1,1)*COMBIN(2,0)*COMBIN(15,8)+COMBIN(3,3)*COMBIN(2,0)*COMBIN(15,7))/COMBIN(20,10)*100+C33</f>
        <v>82.58513931888544</v>
      </c>
      <c r="G33" s="45">
        <f>COMBIN(1,1)*COMBIN(2,1)*COMBIN(2,1)*COMBIN(15,7)/COMBIN(20,10)*100+F33</f>
        <v>96.51702786377707</v>
      </c>
      <c r="H33" s="6">
        <f>COMBIN(2,1)*COMBIN(2,1)*COMBIN(16,8)/COMBIN(20,10)*100+D33</f>
        <v>86.06811145510835</v>
      </c>
      <c r="I33" s="67">
        <f>2*COMBIN(2,2)*COMBIN(2,0)*COMBIN(16,8)/COMBIN(20,10)*100+H33</f>
        <v>99.99999999999999</v>
      </c>
      <c r="J33" s="122" t="s">
        <v>0</v>
      </c>
      <c r="K33" s="121" t="s">
        <v>0</v>
      </c>
    </row>
    <row r="34" spans="1:13" ht="13.5" thickBot="1">
      <c r="A34">
        <v>23</v>
      </c>
      <c r="B34" s="132">
        <v>10</v>
      </c>
      <c r="C34" s="155">
        <f>100-2*COMBIN(3,3)*(COMBIN(17,7)-COMBIN(4,4)*COMBIN(13,3))/COMBIN(20,10)*100</f>
        <v>79.25696594427245</v>
      </c>
      <c r="D34" s="136">
        <f>100-2*COMBIN(3,3)*(COMBIN(17,7)-COMBIN(3,3)*COMBIN(14,4))/COMBIN(20,10)*100</f>
        <v>80.03095975232198</v>
      </c>
      <c r="E34" s="154">
        <f>100-2*COMBIN(3,3)*(COMBIN(17,7)-COMBIN(2,2)*COMBIN(15,5))/COMBIN(20,10)*100</f>
        <v>82.19814241486068</v>
      </c>
      <c r="F34" s="171">
        <f>100-2*COMBIN(3,3)*(COMBIN(17,7)-COMBIN(4,4)*COMBIN(13,3)-COMBIN(4,3)*COMBIN(13,4))/COMBIN(20,10)*100</f>
        <v>82.35294117647058</v>
      </c>
      <c r="G34" s="166">
        <f>100-2*COMBIN(3,3)*(COMBIN(17,7)-COMBIN(4,4)*COMBIN(13,3)-COMBIN(4,3)*COMBIN(13,4)-COMBIN(4,2)*COMBIN(13,5))/COMBIN(20,10)*100</f>
        <v>90.71207430340557</v>
      </c>
      <c r="H34" s="136">
        <f>100-2*COMBIN(3,3)*(COMBIN(17,7)-COMBIN(3,3)*COMBIN(14,4)-COMBIN(3,2)*COMBIN(14,5))/COMBIN(20,10)*100</f>
        <v>86.53250773993808</v>
      </c>
      <c r="I34" s="154">
        <f>100-2*COMBIN(3,3)*(COMBIN(17,7)-COMBIN(3,3)*COMBIN(14,4)-COMBIN(3,2)*COMBIN(14,5)-COMBIN(3,1)*COMBIN(14,6))/COMBIN(20,10)*100</f>
        <v>96.28482972136223</v>
      </c>
      <c r="J34" s="137">
        <f>100-2*COMBIN(3,3)*(COMBIN(17,7)-COMBIN(2,2)*COMBIN(15,5)-COMBIN(2,1)*COMBIN(15,6))/COMBIN(20,10)*100</f>
        <v>93.03405572755418</v>
      </c>
      <c r="K34" s="138">
        <f>100-2*COMBIN(3,3)*(COMBIN(17,7)-COMBIN(2,2)*COMBIN(15,5)-COMBIN(2,1)*COMBIN(15,6)-COMBIN(2,0)*COMBIN(15,7))/COMBIN(20,10)*100</f>
        <v>100</v>
      </c>
      <c r="L34" s="104"/>
      <c r="M34" s="104"/>
    </row>
    <row r="35" spans="5:6" ht="12.75">
      <c r="E35" s="73"/>
      <c r="F35" s="73"/>
    </row>
    <row r="36" spans="5:6" ht="12.75">
      <c r="E36" s="73"/>
      <c r="F36" s="73"/>
    </row>
    <row r="37" ht="13.5" thickBot="1">
      <c r="E37" s="7" t="s">
        <v>76</v>
      </c>
    </row>
    <row r="38" spans="2:11" ht="13.5" thickBot="1">
      <c r="B38" s="18" t="s">
        <v>30</v>
      </c>
      <c r="C38" s="223" t="s">
        <v>37</v>
      </c>
      <c r="D38" s="224"/>
      <c r="E38" s="225"/>
      <c r="F38" s="226" t="s">
        <v>29</v>
      </c>
      <c r="G38" s="227"/>
      <c r="H38" s="227"/>
      <c r="I38" s="227"/>
      <c r="J38" s="227"/>
      <c r="K38" s="228"/>
    </row>
    <row r="39" spans="2:11" ht="13.5" thickBot="1">
      <c r="B39" s="18" t="s">
        <v>27</v>
      </c>
      <c r="C39" s="20" t="s">
        <v>18</v>
      </c>
      <c r="D39" s="53" t="s">
        <v>19</v>
      </c>
      <c r="E39" s="34" t="s">
        <v>20</v>
      </c>
      <c r="F39" s="33" t="s">
        <v>21</v>
      </c>
      <c r="G39" s="20" t="s">
        <v>22</v>
      </c>
      <c r="H39" s="27" t="s">
        <v>23</v>
      </c>
      <c r="I39" s="27" t="s">
        <v>24</v>
      </c>
      <c r="J39" s="22" t="s">
        <v>25</v>
      </c>
      <c r="K39" s="23" t="s">
        <v>26</v>
      </c>
    </row>
    <row r="40" spans="2:11" ht="51.75" thickBot="1">
      <c r="B40" s="18" t="s">
        <v>1</v>
      </c>
      <c r="C40" s="98" t="s">
        <v>9</v>
      </c>
      <c r="D40" s="8" t="s">
        <v>10</v>
      </c>
      <c r="E40" s="32" t="s">
        <v>11</v>
      </c>
      <c r="F40" s="43" t="s">
        <v>2</v>
      </c>
      <c r="G40" s="8" t="s">
        <v>3</v>
      </c>
      <c r="H40" s="2" t="s">
        <v>4</v>
      </c>
      <c r="I40" s="2" t="s">
        <v>6</v>
      </c>
      <c r="J40" s="2" t="s">
        <v>7</v>
      </c>
      <c r="K40" s="3" t="s">
        <v>5</v>
      </c>
    </row>
    <row r="41" spans="1:11" ht="12.75">
      <c r="A41">
        <v>1</v>
      </c>
      <c r="B41" s="10">
        <v>8</v>
      </c>
      <c r="C41" s="119">
        <f>2*COMBIN(7,7)*COMBIN(13,3)/COMBIN(20,10)*100</f>
        <v>0.30959752321981426</v>
      </c>
      <c r="D41" s="119">
        <f>2*COMBIN(6,6)*COMBIN(14,4)/COMBIN(20,10)*100</f>
        <v>1.08359133126935</v>
      </c>
      <c r="E41" s="127">
        <f>2*COMBIN(5,5)*COMBIN(15,5)/COMBIN(20,10)*100</f>
        <v>3.2507739938080498</v>
      </c>
      <c r="F41" s="118">
        <f>2*COMBIN(1,1)*COMBIN(6,5)*COMBIN(13,4)/COMBIN(20,10)*100+C41</f>
        <v>4.953560371517028</v>
      </c>
      <c r="G41" s="119">
        <f>2*COMBIN(1,1)*COMBIN(6,4)*COMBIN(13,5)/COMBIN(20,10)*100+F41</f>
        <v>25.85139318885449</v>
      </c>
      <c r="H41" s="19">
        <f>2*COMBIN(1,1)*COMBIN(5,4)*COMBIN(14,5)/COMBIN(20,10)*100+D41</f>
        <v>11.91950464396285</v>
      </c>
      <c r="I41" s="19">
        <f>2*COMBIN(1,1)*COMBIN(5,3)*COMBIN(14,6)/COMBIN(20,10)*100+H41</f>
        <v>44.42724458204334</v>
      </c>
      <c r="J41" s="19">
        <f>2*COMBIN(1,1)*COMBIN(4,3)*COMBIN(15,6)/COMBIN(20,10)*100+E41</f>
        <v>24.922600619195048</v>
      </c>
      <c r="K41" s="60">
        <f>2*COMBIN(1,1)*COMBIN(4,2)*COMBIN(15,7)/COMBIN(20,10)*100+J41</f>
        <v>66.71826625386997</v>
      </c>
    </row>
    <row r="42" spans="1:11" ht="12.75">
      <c r="A42">
        <v>2</v>
      </c>
      <c r="B42" s="14" t="s">
        <v>17</v>
      </c>
      <c r="C42" s="28">
        <f>2*COMBIN(4,4)*COMBIN(16,6)/COMBIN(20,10)*100</f>
        <v>8.6687306501548</v>
      </c>
      <c r="D42" s="120" t="s">
        <v>0</v>
      </c>
      <c r="E42" s="128" t="s">
        <v>0</v>
      </c>
      <c r="F42" s="77">
        <f>2*COMBIN(4,4)*COMBIN(16,6)/COMBIN(20,10)*100</f>
        <v>8.6687306501548</v>
      </c>
      <c r="G42" s="28">
        <f>2*COMBIN(4,4)*COMBIN(16,6)/COMBIN(20,10)*100</f>
        <v>8.6687306501548</v>
      </c>
      <c r="H42" s="122" t="s">
        <v>0</v>
      </c>
      <c r="I42" s="122" t="s">
        <v>0</v>
      </c>
      <c r="J42" s="122" t="s">
        <v>0</v>
      </c>
      <c r="K42" s="121" t="s">
        <v>0</v>
      </c>
    </row>
    <row r="43" spans="1:11" ht="12.75">
      <c r="A43">
        <v>3</v>
      </c>
      <c r="B43" s="14" t="s">
        <v>32</v>
      </c>
      <c r="C43" s="28">
        <f>2*COMBIN(3,3)*COMBIN(17,7)/COMBIN(20,10)*100</f>
        <v>21.052631578947366</v>
      </c>
      <c r="D43" s="120" t="s">
        <v>0</v>
      </c>
      <c r="E43" s="128" t="s">
        <v>0</v>
      </c>
      <c r="F43" s="77">
        <f>2*COMBIN(3,3)*COMBIN(17,7)/COMBIN(20,10)*100</f>
        <v>21.052631578947366</v>
      </c>
      <c r="G43" s="28">
        <f>2*COMBIN(3,3)*COMBIN(17,7)/COMBIN(20,10)*100</f>
        <v>21.052631578947366</v>
      </c>
      <c r="H43" s="122" t="s">
        <v>0</v>
      </c>
      <c r="I43" s="122" t="s">
        <v>0</v>
      </c>
      <c r="J43" s="122" t="s">
        <v>0</v>
      </c>
      <c r="K43" s="121" t="s">
        <v>0</v>
      </c>
    </row>
    <row r="44" spans="1:11" ht="12.75">
      <c r="A44">
        <v>4</v>
      </c>
      <c r="B44" s="14">
        <v>710</v>
      </c>
      <c r="C44" s="28">
        <f>(2*COMBIN(6,6)*COMBIN(14,4)+COMBIN(2,1)*COMBIN(4,0)*COMBIN(14,9))/COMBIN(20,10)*100</f>
        <v>3.2507739938080498</v>
      </c>
      <c r="D44" s="28">
        <f>(2*COMBIN(5,5)*COMBIN(15,5)+COMBIN(2,1)*COMBIN(3,0)*COMBIN(15,9))/COMBIN(20,10)*100</f>
        <v>8.6687306501548</v>
      </c>
      <c r="E44" s="78">
        <f>(2*COMBIN(4,4)*COMBIN(16,6)+COMBIN(2,1)*COMBIN(2,0)*COMBIN(16,9))/COMBIN(20,10)*100</f>
        <v>21.052631578947366</v>
      </c>
      <c r="F44" s="77">
        <f>(2*COMBIN(2,2)*COMBIN(4,3)*COMBIN(14,5)+COMBIN(2,1)*COMBIN(4,1)*COMBIN(14,8))/COMBIN(20,10)*100+C44</f>
        <v>24.922600619195048</v>
      </c>
      <c r="G44" s="28">
        <f>(2*COMBIN(2,2)*COMBIN(4,2)*COMBIN(14,6)+COMBIN(2,1)*COMBIN(4,2)*COMBIN(14,7))/COMBIN(20,10)*100+F44</f>
        <v>66.71826625386997</v>
      </c>
      <c r="H44" s="6">
        <f>(2*COMBIN(2,2)*COMBIN(3,2)*COMBIN(15,6)+COMBIN(2,1)*COMBIN(3,2)*COMBIN(15,7))/COMBIN(20,10)*100+D44</f>
        <v>45.82043343653251</v>
      </c>
      <c r="I44" s="6">
        <f>(2*COMBIN(2,2)*COMBIN(3,1)*COMBIN(15,7)+COMBIN(2,1)*COMBIN(3,2)*COMBIN(15,7))/COMBIN(20,10)*100+H44</f>
        <v>87.61609907120743</v>
      </c>
      <c r="J44" s="6">
        <f>(2*COMBIN(2,2)*COMBIN(2,1)*COMBIN(16,7)+COMBIN(2,1)*COMBIN(2,1)*COMBIN(16,8))/COMBIN(20,10)*100+E44</f>
        <v>73.68421052631578</v>
      </c>
      <c r="K44" s="17">
        <f>2*COMBIN(2,2)*COMBIN(2,0)*COMBIN(16,8)/COMBIN(20,10)*100+J44</f>
        <v>87.61609907120742</v>
      </c>
    </row>
    <row r="45" spans="1:11" ht="12.75">
      <c r="A45">
        <v>5</v>
      </c>
      <c r="B45" s="14" t="s">
        <v>13</v>
      </c>
      <c r="C45" s="28">
        <f>(2*COMBIN(4,4)*COMBIN(16,6)+COMBIN(3,1)*COMBIN(1,0)*COMBIN(16,9))/COMBIN(20,10)*100</f>
        <v>27.24458204334365</v>
      </c>
      <c r="D45" s="28">
        <f>2*COMBIN(3,3)*COMBIN(17,7)/COMBIN(20,10)*100</f>
        <v>21.052631578947366</v>
      </c>
      <c r="E45" s="128" t="s">
        <v>0</v>
      </c>
      <c r="F45" s="77">
        <f>2*COMBIN(3,3)*COMBIN(1,0)*COMBIN(16,7)/COMBIN(20,10)*100+C45</f>
        <v>39.628482972136226</v>
      </c>
      <c r="G45" s="28">
        <f>2*COMBIN(3,3)*COMBIN(1,0)*COMBIN(16,7)/COMBIN(20,10)*100+C45</f>
        <v>39.628482972136226</v>
      </c>
      <c r="H45" s="6">
        <f>2*COMBIN(3,3)*COMBIN(17,7)/COMBIN(20,10)*100</f>
        <v>21.052631578947366</v>
      </c>
      <c r="I45" s="6">
        <f>2*COMBIN(3,3)*COMBIN(17,7)/COMBIN(20,10)*100</f>
        <v>21.052631578947366</v>
      </c>
      <c r="J45" s="122" t="s">
        <v>0</v>
      </c>
      <c r="K45" s="121" t="s">
        <v>0</v>
      </c>
    </row>
    <row r="46" spans="1:11" ht="12.75">
      <c r="A46">
        <v>6</v>
      </c>
      <c r="B46" s="14">
        <v>89</v>
      </c>
      <c r="C46" s="28">
        <f>2*(COMBIN(6,6)*COMBIN(14,4)+COMBIN(1,1)*COMBIN(5,4)*COMBIN(14,5))/COMBIN(20,10)*100</f>
        <v>11.91950464396285</v>
      </c>
      <c r="D46" s="28">
        <f>2*(COMBIN(5,5)*COMBIN(15,5)+COMBIN(1,1)*COMBIN(4,3)*COMBIN(15,6))/COMBIN(20,10)*100</f>
        <v>24.922600619195045</v>
      </c>
      <c r="E46" s="78">
        <f>2*(COMBIN(4,4)*COMBIN(16,6)+COMBIN(1,1)*COMBIN(3,2)*COMBIN(16,7))/COMBIN(20,10)*100</f>
        <v>45.82043343653251</v>
      </c>
      <c r="F46" s="77">
        <f>2*COMBIN(1,1)*COMBIN(5,3)*COMBIN(14,6)/COMBIN(20,10)*100+C46</f>
        <v>44.42724458204334</v>
      </c>
      <c r="G46" s="28">
        <f>2*COMBIN(1,1)*COMBIN(5,2)*COMBIN(14,7)/COMBIN(20,10)*100+F46</f>
        <v>81.57894736842105</v>
      </c>
      <c r="H46" s="6">
        <f>2*COMBIN(1,1)*COMBIN(4,2)*COMBIN(15,7)/COMBIN(20,10)*100+D46</f>
        <v>66.71826625386996</v>
      </c>
      <c r="I46" s="6">
        <f>2*COMBIN(1,1)*COMBIN(4,1)*COMBIN(15,8)/COMBIN(20,10)*100+H46</f>
        <v>94.58204334365323</v>
      </c>
      <c r="J46" s="6">
        <f>2*COMBIN(1,1)*COMBIN(3,1)*COMBIN(16,8)/COMBIN(20,10)*100+E46</f>
        <v>87.61609907120743</v>
      </c>
      <c r="K46" s="17">
        <f>2*COMBIN(1,1)*COMBIN(3,1)*COMBIN(16,8)/COMBIN(20,10)*100+E46</f>
        <v>87.61609907120743</v>
      </c>
    </row>
    <row r="47" spans="1:11" ht="12.75">
      <c r="A47">
        <v>7</v>
      </c>
      <c r="B47" s="14" t="s">
        <v>33</v>
      </c>
      <c r="C47" s="28">
        <f>2*COMBIN(2,2)*COMBIN(18,8)/COMBIN(20,10)*100</f>
        <v>47.368421052631575</v>
      </c>
      <c r="D47" s="120" t="s">
        <v>0</v>
      </c>
      <c r="E47" s="128" t="s">
        <v>0</v>
      </c>
      <c r="F47" s="77">
        <f>2*COMBIN(2,2)*COMBIN(18,8)/COMBIN(20,10)*100</f>
        <v>47.368421052631575</v>
      </c>
      <c r="G47" s="28">
        <f>2*COMBIN(2,2)*COMBIN(18,8)/COMBIN(20,10)*100</f>
        <v>47.368421052631575</v>
      </c>
      <c r="H47" s="122" t="s">
        <v>0</v>
      </c>
      <c r="I47" s="122" t="s">
        <v>0</v>
      </c>
      <c r="J47" s="122" t="s">
        <v>0</v>
      </c>
      <c r="K47" s="121" t="s">
        <v>0</v>
      </c>
    </row>
    <row r="48" spans="1:11" ht="12.75">
      <c r="A48">
        <v>8</v>
      </c>
      <c r="B48" s="102">
        <v>810</v>
      </c>
      <c r="C48" s="28">
        <f>(2*COMBIN(6,6)*COMBIN(14,4)+2*COMBIN(1,1)*COMBIN(5,4)*COMBIN(14,5)+COMBIN(1,1)*COMBIN(5,0)*COMBIN(14,9))/COMBIN(20,10)*100</f>
        <v>13.003095975232199</v>
      </c>
      <c r="D48" s="28">
        <f>(2*COMBIN(5,5)*COMBIN(15,5)+2*COMBIN(1,1)*COMBIN(4,3)*COMBIN(15,6)+COMBIN(1,1)*COMBIN(4,0)*COMBIN(15,9))/COMBIN(20,10)*100</f>
        <v>27.631578947368425</v>
      </c>
      <c r="E48" s="78">
        <f>(2*COMBIN(4,4)*COMBIN(16,6)+2*COMBIN(1,1)*COMBIN(3,2)*COMBIN(16,7)+COMBIN(1,1)*COMBIN(3,0)*COMBIN(16,9))/COMBIN(20,10)*100</f>
        <v>52.012383900928796</v>
      </c>
      <c r="F48" s="77">
        <f>(2*COMBIN(1,1)*COMBIN(5,3)*COMBIN(14,6)+COMBIN(1,1)*COMBIN(1,0)*COMBIN(4,1)*COMBIN(14,8))/COMBIN(20,10)*100+C48</f>
        <v>52.01238390092878</v>
      </c>
      <c r="G48" s="28">
        <f>2*COMBIN(1,1)*COMBIN(5,2)*COMBIN(14,7)/COMBIN(20,10)*100+F48</f>
        <v>89.1640866873065</v>
      </c>
      <c r="H48" s="6">
        <f>(2*COMBIN(1,1)*COMBIN(4,2)*COMBIN(15,7)+COMBIN(1,1)*COMBIN(1,0)*COMBIN(3,1)*COMBIN(15,8))/COMBIN(20,10)*100+D48</f>
        <v>79.87616099071207</v>
      </c>
      <c r="I48" s="6">
        <f>(2*COMBIN(1,1)*COMBIN(4,1)*COMBIN(15,8)-COMBIN(1,1)*COMBIN(1,0)*COMBIN(3,1)*COMBIN(15,8))/COMBIN(20,10)*100+H48</f>
        <v>97.29102167182661</v>
      </c>
      <c r="J48" s="6">
        <f>2*COMBIN(1,1)*COMBIN(3,1)*COMBIN(16,8)/COMBIN(20,10)*100+E48</f>
        <v>93.80804953560371</v>
      </c>
      <c r="K48" s="17">
        <f>2*COMBIN(1,1)*COMBIN(3,1)*COMBIN(16,8)/COMBIN(20,10)*100+E48</f>
        <v>93.80804953560371</v>
      </c>
    </row>
    <row r="49" spans="1:11" ht="12.75">
      <c r="A49">
        <v>9</v>
      </c>
      <c r="B49" s="102" t="s">
        <v>8</v>
      </c>
      <c r="C49" s="28">
        <f>(2*COMBIN(5,5)*COMBIN(15,5)+COMBIN(3,1)*COMBIN(2,0)*COMBIN(15,9)+COMBIN(3,2)*COMBIN(2,0)*COMBIN(15,8))/COMBIN(20,10)*100</f>
        <v>21.826625386996902</v>
      </c>
      <c r="D49" s="28">
        <f>(2*COMBIN(4,4)*COMBIN(16,6)+COMBIN(3,1)*COMBIN(1,0)*COMBIN(16,9))/COMBIN(20,10)*100</f>
        <v>27.24458204334365</v>
      </c>
      <c r="E49" s="78">
        <f>2*COMBIN(3,3)*COMBIN(17,7)/COMBIN(20,10)*100</f>
        <v>21.052631578947366</v>
      </c>
      <c r="F49" s="77">
        <f>(2*COMBIN(3,3)*COMBIN(2,1)*COMBIN(15,6)+COMBIN(3,1)*COMBIN(2,1)*COMBIN(15,8))/COMBIN(20,10)*100+C49</f>
        <v>53.56037151702786</v>
      </c>
      <c r="G49" s="28">
        <f>2*COMBIN(3,3)*COMBIN(2,0)*COMBIN(15,7)/COMBIN(20,10)*100+F49</f>
        <v>60.52631578947368</v>
      </c>
      <c r="H49" s="6">
        <f>2*COMBIN(3,3)*COMBIN(1,0)*COMBIN(16,7)/COMBIN(20,10)*100+D49</f>
        <v>39.628482972136226</v>
      </c>
      <c r="I49" s="6">
        <f>2*COMBIN(3,3)*COMBIN(1,0)*COMBIN(16,7)/COMBIN(20,10)*100+D49</f>
        <v>39.628482972136226</v>
      </c>
      <c r="J49" s="6">
        <f>E49</f>
        <v>21.052631578947366</v>
      </c>
      <c r="K49" s="17">
        <f>E49</f>
        <v>21.052631578947366</v>
      </c>
    </row>
    <row r="50" spans="1:11" ht="12.75">
      <c r="A50">
        <v>10</v>
      </c>
      <c r="B50" s="102">
        <v>9</v>
      </c>
      <c r="C50" s="28">
        <f>(2*COMBIN(7,7)*COMBIN(13,3)+COMBIN(2,1)*COMBIN(18,9))/COMBIN(20,10)*100</f>
        <v>52.941176470588225</v>
      </c>
      <c r="D50" s="28">
        <f>(2*COMBIN(6,6)*COMBIN(14,4)+COMBIN(2,1)*COMBIN(18,9))/COMBIN(20,10)*100</f>
        <v>53.71517027863776</v>
      </c>
      <c r="E50" s="78">
        <f>(2*COMBIN(5,5)*COMBIN(15,5)+COMBIN(2,1)*COMBIN(18,9))/COMBIN(20,10)*100</f>
        <v>55.882352941176464</v>
      </c>
      <c r="F50" s="77">
        <f>2*COMBIN(2,2)*COMBIN(5,4)*COMBIN(13,4)/COMBIN(20,10)*100+C50</f>
        <v>56.8111455108359</v>
      </c>
      <c r="G50" s="28">
        <f>2*COMBIN(2,2)*COMBIN(5,3)*COMBIN(13,5)/COMBIN(20,10)*100+F50</f>
        <v>70.74303405572753</v>
      </c>
      <c r="H50" s="6">
        <f>2*COMBIN(2,2)*COMBIN(4,3)*COMBIN(14,5)/COMBIN(20,10)*100+D50</f>
        <v>62.383900928792556</v>
      </c>
      <c r="I50" s="6">
        <f>2*COMBIN(2,2)*COMBIN(4,2)*COMBIN(14,6)/COMBIN(20,10)*100+H50</f>
        <v>81.88854489164085</v>
      </c>
      <c r="J50" s="6">
        <f>2*COMBIN(2,2)*COMBIN(3,2)*COMBIN(15,6)/COMBIN(20,10)*100+E50</f>
        <v>72.1362229102167</v>
      </c>
      <c r="K50" s="17">
        <f>2*COMBIN(2,2)*COMBIN(3,1)*COMBIN(15,7)/COMBIN(20,10)*100+J50</f>
        <v>93.03405572755416</v>
      </c>
    </row>
    <row r="51" spans="1:11" ht="12.75">
      <c r="A51">
        <v>11</v>
      </c>
      <c r="B51" s="102" t="s">
        <v>14</v>
      </c>
      <c r="C51" s="28">
        <f>2*(COMBIN(4,4)*COMBIN(16,6)+COMBIN(4,3)*COMBIN(16,7))/COMBIN(20,10)*100</f>
        <v>58.204334365325074</v>
      </c>
      <c r="D51" s="28">
        <f>2*COMBIN(3,3)*COMBIN(17,7)/COMBIN(20,10)*100</f>
        <v>21.052631578947366</v>
      </c>
      <c r="E51" s="128" t="s">
        <v>0</v>
      </c>
      <c r="F51" s="77">
        <f>2*(COMBIN(4,4)*COMBIN(16,6)+COMBIN(4,3)*COMBIN(16,7))/COMBIN(20,10)*100</f>
        <v>58.204334365325074</v>
      </c>
      <c r="G51" s="28">
        <f>2*(COMBIN(4,4)*COMBIN(16,6)+COMBIN(4,3)*COMBIN(16,7))/COMBIN(20,10)*100</f>
        <v>58.204334365325074</v>
      </c>
      <c r="H51" s="6">
        <f>2*COMBIN(3,3)*COMBIN(17,7)/COMBIN(20,10)*100</f>
        <v>21.052631578947366</v>
      </c>
      <c r="I51" s="6">
        <f>2*COMBIN(3,3)*COMBIN(17,7)/COMBIN(20,10)*100</f>
        <v>21.052631578947366</v>
      </c>
      <c r="J51" s="122" t="s">
        <v>0</v>
      </c>
      <c r="K51" s="121" t="s">
        <v>0</v>
      </c>
    </row>
    <row r="52" spans="1:12" ht="12.75">
      <c r="A52">
        <v>12</v>
      </c>
      <c r="B52" s="102" t="s">
        <v>12</v>
      </c>
      <c r="C52" s="28">
        <f>100-(2*COMBIN(3,3)*(COMBIN(17,7)-COMBIN(3,3)*COMBIN(14,4))+COMBIN(3,1)*(COMBIN(17,9)-COMBIN(3,0)*COMBIN(14,9)))/COMBIN(20,10)*100</f>
        <v>43.80804953560371</v>
      </c>
      <c r="D52" s="28">
        <f>100-(2*COMBIN(3,3)*(COMBIN(2,0)*COMBIN(15,7)+COMBIN(2,1)*COMBIN(15,6))+COMBIN(3,1)*(COMBIN(2,1)*COMBIN(15,8)+COMBIN(2,2)*COMBIN(15,7)))/COMBIN(20,10)*100</f>
        <v>50.8513931888545</v>
      </c>
      <c r="E52" s="78">
        <f>100-(2*COMBIN(3,3)*COMBIN(1,0)*COMBIN(16,7)+COMBIN(3,1)*COMBIN(1,1)*COMBIN(16,8))/COMBIN(20,10)*100</f>
        <v>66.71826625386997</v>
      </c>
      <c r="F52" s="77">
        <f>(2*COMBIN(3,3)*COMBIN(3,2)*COMBIN(14,5)+COMBIN(3,1)*COMBIN(3,1)*COMBIN(14,8))/COMBIN(20,10)*100+C52</f>
        <v>64.93808049535603</v>
      </c>
      <c r="G52" s="28">
        <f>(2*COMBIN(3,3)*COMBIN(3,1)*COMBIN(14,6)+COMBIN(3,1)*COMBIN(3,2)*COMBIN(14,7))/COMBIN(20,10)*100+F52</f>
        <v>91.40866873065015</v>
      </c>
      <c r="H52" s="4">
        <f>(2*COMBIN(3,3)*COMBIN(2,1)*COMBIN(15,6)+COMBIN(3,1)*COMBIN(2,1)*COMBIN(15,8))/COMBIN(20,10)*100+D52</f>
        <v>82.58513931888545</v>
      </c>
      <c r="I52" s="16">
        <f>(2*COMBIN(3,3)*COMBIN(2,0)*COMBIN(15,7)+COMBIN(3,1)*COMBIN(2,2)*COMBIN(15,7))/COMBIN(20,10)*100+H52</f>
        <v>100</v>
      </c>
      <c r="J52" s="6">
        <v>100</v>
      </c>
      <c r="K52" s="17">
        <v>100</v>
      </c>
      <c r="L52" s="71"/>
    </row>
    <row r="53" spans="1:11" ht="12.75">
      <c r="A53">
        <v>13</v>
      </c>
      <c r="B53" s="102" t="s">
        <v>15</v>
      </c>
      <c r="C53" s="28">
        <f>(2*COMBIN(5,5)*COMBIN(15,5)+2*COMBIN(2,2)*COMBIN(3,2)*COMBIN(15,6)+COMBIN(2,1)*COMBIN(3,2)*COMBIN(15,7)+COMBIN(2,1)*COMBIN(3,0)*COMBIN(15,9))/COMBIN(20,10)*100</f>
        <v>45.82043343653251</v>
      </c>
      <c r="D53" s="28">
        <f>(2*COMBIN(4,4)*COMBIN(16,6)+2*COMBIN(2,2)*COMBIN(2,1)*COMBIN(16,7)+COMBIN(2,1)*COMBIN(2,2)*COMBIN(16,7))/COMBIN(20,10)*100</f>
        <v>45.82043343653251</v>
      </c>
      <c r="E53" s="78">
        <f>(2*COMBIN(3,3)*COMBIN(17,7)+COMBIN(2,1)*COMBIN(1,0)*COMBIN(17,9))/COMBIN(20,10)*100</f>
        <v>47.368421052631575</v>
      </c>
      <c r="F53" s="77">
        <f>2*COMBIN(2,2)*COMBIN(3,1)*COMBIN(15,7)/COMBIN(20,10)*100+C53</f>
        <v>66.71826625386997</v>
      </c>
      <c r="G53" s="28">
        <f>COMBIN(2,1)*COMBIN(3,2)*COMBIN(15,7)/COMBIN(20,10)*100+F53</f>
        <v>87.61609907120743</v>
      </c>
      <c r="H53" s="6">
        <f>COMBIN(2,1)*COMBIN(2,1)*COMBIN(16,8)/COMBIN(20,10)*100+D53</f>
        <v>73.68421052631578</v>
      </c>
      <c r="I53" s="6">
        <f>2*COMBIN(2,2)*COMBIN(2,0)*COMBIN(16,8)/COMBIN(20,10)*100+H53</f>
        <v>87.61609907120742</v>
      </c>
      <c r="J53" s="6">
        <f>2*COMBIN(2,2)*COMBIN(1,0)*COMBIN(17,8)/COMBIN(20,10)*100+E53</f>
        <v>73.68421052631578</v>
      </c>
      <c r="K53" s="17">
        <f>2*COMBIN(2,2)*COMBIN(1,0)*COMBIN(17,8)/COMBIN(20,10)*100+E53</f>
        <v>73.68421052631578</v>
      </c>
    </row>
    <row r="54" spans="1:11" ht="12.75">
      <c r="A54">
        <v>14</v>
      </c>
      <c r="B54" s="102" t="s">
        <v>40</v>
      </c>
      <c r="C54" s="28">
        <f>(2*COMBIN(5,5)*COMBIN(15,5)+2*COMBIN(2,2)*COMBIN(3,2)*COMBIN(15,6)+COMBIN(2,1)*COMBIN(3,2)*COMBIN(15,7)+COMBIN(2,1)*COMBIN(3,0)*COMBIN(15,9)+COMBIN(2,2)*COMBIN(3,0)*COMBIN(15,8))/COMBIN(20,10)*100</f>
        <v>49.303405572755416</v>
      </c>
      <c r="D54" s="28">
        <f>(2*COMBIN(4,4)*COMBIN(16,6)+2*COMBIN(2,2)*COMBIN(2,1)*COMBIN(16,7)+COMBIN(2,1)*COMBIN(2,2)*COMBIN(16,7))/COMBIN(20,10)*100</f>
        <v>45.82043343653251</v>
      </c>
      <c r="E54" s="78">
        <f>(2*COMBIN(3,3)*COMBIN(17,7)+COMBIN(2,1)*COMBIN(1,0)*COMBIN(17,9))/COMBIN(20,10)*100</f>
        <v>47.368421052631575</v>
      </c>
      <c r="F54" s="77">
        <f>2*COMBIN(2,2)*COMBIN(3,1)*COMBIN(15,7)/COMBIN(20,10)*100+C54</f>
        <v>70.20123839009287</v>
      </c>
      <c r="G54" s="28">
        <f>COMBIN(2,1)*COMBIN(3,2)*COMBIN(15,7)/COMBIN(20,10)*100+F54</f>
        <v>91.09907120743033</v>
      </c>
      <c r="H54" s="6">
        <f>COMBIN(2,1)*COMBIN(2,1)*COMBIN(16,8)/COMBIN(20,10)*100+D54</f>
        <v>73.68421052631578</v>
      </c>
      <c r="I54" s="6">
        <f>2*COMBIN(2,2)*COMBIN(2,0)*COMBIN(16,8)/COMBIN(20,10)*100+H54</f>
        <v>87.61609907120742</v>
      </c>
      <c r="J54" s="6">
        <f>2*COMBIN(2,2)*COMBIN(1,0)*COMBIN(17,8)/COMBIN(20,10)*100+E54</f>
        <v>73.68421052631578</v>
      </c>
      <c r="K54" s="17">
        <f>2*COMBIN(2,2)*COMBIN(1,0)*COMBIN(17,8)/COMBIN(20,10)*100+E54</f>
        <v>73.68421052631578</v>
      </c>
    </row>
    <row r="55" spans="1:11" ht="12.75">
      <c r="A55">
        <v>15</v>
      </c>
      <c r="B55" s="102" t="s">
        <v>28</v>
      </c>
      <c r="C55" s="28">
        <f>(2*COMBIN(4,4)*COMBIN(16,6)+2*COMBIN(2,2)*COMBIN(2,1)*COMBIN(16,7)+COMBIN(2,1)*COMBIN(2,0)*COMBIN(16,9))/COMBIN(20,10)*100</f>
        <v>45.82043343653251</v>
      </c>
      <c r="D55" s="28">
        <f>(2*COMBIN(3,3)*COMBIN(17,7)+COMBIN(2,1)*COMBIN(1,0)*COMBIN(17,9))/COMBIN(20,10)*100</f>
        <v>47.368421052631575</v>
      </c>
      <c r="E55" s="78">
        <f>2*COMBIN(2,2)*COMBIN(18,8)/COMBIN(20,10)*100</f>
        <v>47.368421052631575</v>
      </c>
      <c r="F55" s="77">
        <f>COMBIN(2,1)*COMBIN(2,1)*COMBIN(16,8)/COMBIN(20,10)*100+C55</f>
        <v>73.68421052631578</v>
      </c>
      <c r="G55" s="28">
        <f>2*COMBIN(2,2)*COMBIN(2,0)*COMBIN(16,8)/COMBIN(20,10)*100+F55</f>
        <v>87.61609907120742</v>
      </c>
      <c r="H55" s="28">
        <f>2*COMBIN(2,2)*COMBIN(1,0)*COMBIN(17,8)/COMBIN(20,10)*100+D55</f>
        <v>73.68421052631578</v>
      </c>
      <c r="I55" s="6">
        <f>2*COMBIN(2,2)*COMBIN(1,0)*COMBIN(17,8)/COMBIN(20,10)*100+E55</f>
        <v>73.68421052631578</v>
      </c>
      <c r="J55" s="6">
        <f>2*COMBIN(2,2)*COMBIN(18,8)/COMBIN(20,10)*100</f>
        <v>47.368421052631575</v>
      </c>
      <c r="K55" s="17">
        <f>2*COMBIN(2,2)*COMBIN(18,8)/COMBIN(20,10)*100</f>
        <v>47.368421052631575</v>
      </c>
    </row>
    <row r="56" spans="1:11" ht="12.75">
      <c r="A56">
        <v>16</v>
      </c>
      <c r="B56" s="116" t="s">
        <v>50</v>
      </c>
      <c r="C56" s="94">
        <f>(2*COMBIN(4,4)*COMBIN(16,6)+2*COMBIN(2,2)*COMBIN(2,1)*COMBIN(16,7)+COMBIN(2,1)*COMBIN(2,0)*COMBIN(16,9))/COMBIN(20,10)*100</f>
        <v>45.82043343653251</v>
      </c>
      <c r="D56" s="94">
        <f>(2*COMBIN(3,3)*COMBIN(17,7)+COMBIN(2,1)*COMBIN(1,0)*COMBIN(17,9))/COMBIN(20,10)*100</f>
        <v>47.368421052631575</v>
      </c>
      <c r="E56" s="129" t="s">
        <v>0</v>
      </c>
      <c r="F56" s="96">
        <f>COMBIN(2,1)*COMBIN(2,1)*COMBIN(16,8)/COMBIN(20,10)*100+C56</f>
        <v>73.68421052631578</v>
      </c>
      <c r="G56" s="94">
        <f>2*COMBIN(2,2)*COMBIN(2,0)*COMBIN(16,8)/COMBIN(20,10)*100+F56</f>
        <v>87.61609907120742</v>
      </c>
      <c r="H56" s="76">
        <f>2*COMBIN(2,2)*COMBIN(1,0)*COMBIN(17,8)/COMBIN(20,10)*100+D56</f>
        <v>73.68421052631578</v>
      </c>
      <c r="I56" s="76">
        <f>2*COMBIN(2,2)*COMBIN(1,0)*COMBIN(17,8)/COMBIN(20,10)*100+D56</f>
        <v>73.68421052631578</v>
      </c>
      <c r="J56" s="122" t="s">
        <v>0</v>
      </c>
      <c r="K56" s="121" t="s">
        <v>0</v>
      </c>
    </row>
    <row r="57" spans="1:12" ht="12.75">
      <c r="A57">
        <v>17</v>
      </c>
      <c r="B57" s="102" t="s">
        <v>31</v>
      </c>
      <c r="C57" s="28">
        <f>(2*COMBIN(3,3)*COMBIN(17,7)+COMBIN(2,1)*COMBIN(1,0)*COMBIN(17,9))/COMBIN(20,10)*100</f>
        <v>47.368421052631575</v>
      </c>
      <c r="D57" s="28">
        <f>2*COMBIN(2,2)*COMBIN(18,8)/COMBIN(20,10)*100</f>
        <v>47.368421052631575</v>
      </c>
      <c r="E57" s="128" t="s">
        <v>0</v>
      </c>
      <c r="F57" s="77">
        <f>2*COMBIN(2,2)*COMBIN(1,0)*COMBIN(17,8)/COMBIN(20,10)*100+C57</f>
        <v>73.68421052631578</v>
      </c>
      <c r="G57" s="28">
        <f>2*COMBIN(2,2)*COMBIN(1,0)*COMBIN(17,8)/COMBIN(20,10)*100+C57</f>
        <v>73.68421052631578</v>
      </c>
      <c r="H57" s="6">
        <f>2*COMBIN(2,2)*COMBIN(18,8)/COMBIN(20,10)*100</f>
        <v>47.368421052631575</v>
      </c>
      <c r="I57" s="6">
        <f>2*COMBIN(2,2)*COMBIN(18,8)/COMBIN(20,10)*100</f>
        <v>47.368421052631575</v>
      </c>
      <c r="J57" s="122" t="s">
        <v>0</v>
      </c>
      <c r="K57" s="121" t="s">
        <v>0</v>
      </c>
      <c r="L57" s="71"/>
    </row>
    <row r="58" spans="1:12" ht="12.75">
      <c r="A58">
        <v>18</v>
      </c>
      <c r="B58" s="102" t="s">
        <v>51</v>
      </c>
      <c r="C58" s="28">
        <f>(2*COMBIN(3,3)*COMBIN(17,7)+COMBIN(2,1)*COMBIN(1,0)*COMBIN(17,9))/COMBIN(20,10)*100</f>
        <v>47.368421052631575</v>
      </c>
      <c r="D58" s="120" t="s">
        <v>0</v>
      </c>
      <c r="E58" s="128" t="s">
        <v>0</v>
      </c>
      <c r="F58" s="77">
        <f>2*COMBIN(2,2)*COMBIN(1,0)*COMBIN(17,8)/COMBIN(20,10)*100+C58</f>
        <v>73.68421052631578</v>
      </c>
      <c r="G58" s="28">
        <f>2*COMBIN(2,2)*COMBIN(1,0)*COMBIN(17,8)/COMBIN(20,10)*100+C58</f>
        <v>73.68421052631578</v>
      </c>
      <c r="H58" s="122" t="s">
        <v>0</v>
      </c>
      <c r="I58" s="122" t="s">
        <v>0</v>
      </c>
      <c r="J58" s="122" t="s">
        <v>0</v>
      </c>
      <c r="K58" s="121" t="s">
        <v>0</v>
      </c>
      <c r="L58" s="71"/>
    </row>
    <row r="59" spans="1:11" ht="12.75">
      <c r="A59">
        <v>19</v>
      </c>
      <c r="B59" s="102" t="s">
        <v>39</v>
      </c>
      <c r="C59" s="50">
        <f>100-(2*COMBIN(3,3)*(COMBIN(3,0)*COMBIN(14,7)+COMBIN(3,1)*COMBIN(14,6))+COMBIN(3,1)*(COMBIN(3,1)*COMBIN(14,8)+COMBIN(3,2)*COMBIN(14,7)+COMBIN(3,3)*COMBIN(14,6)))/COMBIN(20,10)*100</f>
        <v>50.309597523219814</v>
      </c>
      <c r="D59" s="117">
        <f>100-(2*COMBIN(3,3)*COMBIN(2,0)*COMBIN(15,7)+COMBIN(3,1)*(COMBIN(2,1)*COMBIN(15,8)+COMBIN(2,2)*COMBIN(15,7)))/COMBIN(20,10)*100</f>
        <v>61.687306501547994</v>
      </c>
      <c r="E59" s="78">
        <f>100-COMBIN(3,1)*COMBIN(1,1)*COMBIN(16,8)/COMBIN(20,10)*100</f>
        <v>79.10216718266254</v>
      </c>
      <c r="F59" s="40">
        <f>100-(2*COMBIN(3,3)*COMBIN(3,0)*COMBIN(14,7)+COMBIN(3,1)*COMBIN(3,2)*COMBIN(14,7)+COMBIN(2,1)*COMBIN(1,0)*COMBIN(3,3)*COMBIN(14,6))/COMBIN(20,10)*100</f>
        <v>76.31578947368422</v>
      </c>
      <c r="G59" s="144">
        <f>100-(COMBIN(1,1)*COMBIN(2,1)*COMBIN(3,0)*COMBIN(14,8))/COMBIN(20,10)*100</f>
        <v>96.74922600619195</v>
      </c>
      <c r="H59" s="6">
        <f>100-COMBIN(2,1)*COMBIN(1,0)*COMBIN(2,2)*COMBIN(15,7)/COMBIN(20,10)*100</f>
        <v>93.03405572755418</v>
      </c>
      <c r="I59" s="117">
        <v>100</v>
      </c>
      <c r="J59" s="6">
        <v>100</v>
      </c>
      <c r="K59" s="17">
        <v>100</v>
      </c>
    </row>
    <row r="60" spans="1:12" ht="12.75">
      <c r="A60">
        <v>20</v>
      </c>
      <c r="B60" s="161" t="s">
        <v>16</v>
      </c>
      <c r="C60" s="114">
        <f>(2*COMBIN(5,5)*COMBIN(15,5)+2*COMBIN(4,1)*COMBIN(1,0)*COMBIN(15,9)+COMBIN(4,2)*COMBIN(1,0)*COMBIN(15,8)+COMBIN(4,3)*COMBIN(1,0)*COMBIN(15,7))/COMBIN(20,10)*100</f>
        <v>59.75232198142415</v>
      </c>
      <c r="D60" s="114">
        <f>(2*COMBIN(4,4)*COMBIN(16,6)+2*COMBIN(4,1)*COMBIN(16,9))/COMBIN(20,10)*100</f>
        <v>58.204334365325074</v>
      </c>
      <c r="E60" s="128" t="s">
        <v>0</v>
      </c>
      <c r="F60" s="130">
        <f>(2*COMBIN(1,1)*COMBIN(4,0)*COMBIN(15,9)+COMBIN(4,3)*COMBIN(1,0)*COMBIN(15,7))/COMBIN(20,10)*100+C60</f>
        <v>79.10216718266254</v>
      </c>
      <c r="G60" s="114">
        <f>(2*COMBIN(1,1)*COMBIN(4,0)*COMBIN(15,9)+COMBIN(4,3)*COMBIN(1,0)*COMBIN(15,7))/COMBIN(20,10)*100+C60</f>
        <v>79.10216718266254</v>
      </c>
      <c r="H60" s="115">
        <f>D60</f>
        <v>58.204334365325074</v>
      </c>
      <c r="I60" s="115">
        <f>H60</f>
        <v>58.204334365325074</v>
      </c>
      <c r="J60" s="122" t="s">
        <v>0</v>
      </c>
      <c r="K60" s="121" t="s">
        <v>0</v>
      </c>
      <c r="L60" s="71"/>
    </row>
    <row r="61" spans="1:12" ht="12.75">
      <c r="A61">
        <v>21</v>
      </c>
      <c r="B61" s="102">
        <v>10</v>
      </c>
      <c r="C61" s="28">
        <f>100-2*COMBIN(3,3)*(COMBIN(17,7)-COMBIN(4,4)*COMBIN(13,3))/COMBIN(20,10)*100</f>
        <v>79.25696594427245</v>
      </c>
      <c r="D61" s="117">
        <f>100-2*COMBIN(3,3)*(COMBIN(17,7)-COMBIN(3,3)*COMBIN(14,4))/COMBIN(20,10)*100</f>
        <v>80.03095975232198</v>
      </c>
      <c r="E61" s="78">
        <f>100-2*COMBIN(3,3)*(COMBIN(17,7)-COMBIN(2,2)*COMBIN(15,5))/COMBIN(20,10)*100</f>
        <v>82.19814241486068</v>
      </c>
      <c r="F61" s="77">
        <f>100-2*COMBIN(3,3)*(COMBIN(17,7)-COMBIN(4,4)*COMBIN(13,3)-COMBIN(4,3)*COMBIN(13,4))/COMBIN(20,10)*100</f>
        <v>82.35294117647058</v>
      </c>
      <c r="G61" s="117">
        <f>100-2*COMBIN(3,3)*(COMBIN(17,7)-COMBIN(4,4)*COMBIN(13,3)-COMBIN(4,3)*COMBIN(13,4)-COMBIN(4,2)*COMBIN(13,5))/COMBIN(20,10)*100</f>
        <v>90.71207430340557</v>
      </c>
      <c r="H61" s="67">
        <f>100-2*COMBIN(3,3)*(COMBIN(17,7)-COMBIN(3,3)*COMBIN(14,4)-COMBIN(3,2)*COMBIN(14,5))/COMBIN(20,10)*100</f>
        <v>86.53250773993808</v>
      </c>
      <c r="I61" s="6">
        <f>100-2*COMBIN(3,3)*(COMBIN(17,7)-COMBIN(3,3)*COMBIN(14,4)-COMBIN(3,2)*COMBIN(14,5)-COMBIN(3,1)*COMBIN(14,6))/COMBIN(20,10)*100</f>
        <v>96.28482972136223</v>
      </c>
      <c r="J61" s="6">
        <f>100-2*COMBIN(3,3)*(COMBIN(17,7)-COMBIN(2,2)*COMBIN(15,5)-COMBIN(2,1)*COMBIN(15,6))/COMBIN(20,10)*100</f>
        <v>93.03405572755418</v>
      </c>
      <c r="K61" s="17">
        <f>100-2*COMBIN(3,3)*(COMBIN(17,7)-COMBIN(2,2)*COMBIN(15,5)-COMBIN(2,1)*COMBIN(15,6)-COMBIN(2,0)*COMBIN(15,7))/COMBIN(20,10)*100</f>
        <v>100</v>
      </c>
      <c r="L61" s="71"/>
    </row>
    <row r="62" spans="1:11" ht="12.75">
      <c r="A62">
        <v>22</v>
      </c>
      <c r="B62" s="102" t="s">
        <v>53</v>
      </c>
      <c r="C62" s="9">
        <f>(2*COMBIN(5,5)*COMBIN(15,5)+2*COMBIN(5,4)*COMBIN(15,6)+COMBIN(4,2)*COMBIN(1,0)*COMBIN(15,8)+3*COMBIN(2,1)*COMBIN(1,1)*COMBIN(2,0)*COMBIN(15,8))/COMBIN(20,10)*100</f>
        <v>72.13622291021672</v>
      </c>
      <c r="D62" s="28">
        <f>2*(COMBIN(4,4)*COMBIN(16,6)+COMBIN(4,3)*COMBIN(16,7))/COMBIN(20,10)*100</f>
        <v>58.204334365325074</v>
      </c>
      <c r="E62" s="128" t="s">
        <v>0</v>
      </c>
      <c r="F62" s="95">
        <f>(COMBIN(2,1)*COMBIN(1,1)*COMBIN(2,0)*COMBIN(15,8)+COMBIN(3,3)*COMBIN(2,0)*COMBIN(15,7))/COMBIN(20,10)*100+C62</f>
        <v>82.58513931888544</v>
      </c>
      <c r="G62" s="144">
        <f>COMBIN(1,1)*COMBIN(2,1)*COMBIN(2,1)*COMBIN(15,7)/COMBIN(20,10)*100+F62</f>
        <v>96.51702786377707</v>
      </c>
      <c r="H62" s="6">
        <f>COMBIN(2,1)*COMBIN(2,1)*COMBIN(16,8)/COMBIN(20,10)*100+D62</f>
        <v>86.06811145510835</v>
      </c>
      <c r="I62" s="67">
        <f>2*COMBIN(2,2)*COMBIN(2,0)*COMBIN(16,8)/COMBIN(20,10)*100+H62</f>
        <v>99.99999999999999</v>
      </c>
      <c r="J62" s="122" t="s">
        <v>0</v>
      </c>
      <c r="K62" s="121" t="s">
        <v>0</v>
      </c>
    </row>
    <row r="63" spans="1:11" ht="13.5" thickBot="1">
      <c r="A63">
        <v>23</v>
      </c>
      <c r="B63" s="160" t="s">
        <v>38</v>
      </c>
      <c r="C63" s="136">
        <f>100-(2*COMBIN(4,4)*(COMBIN(2,0)*COMBIN(14,6)+COMBIN(2,1)*COMBIN(14,5))+COMBIN(4,1)*(COMBIN(2,1)*COMBIN(14,8)+COMBIN(2,2)*COMBIN(14,7)))/COMBIN(20,10)*100</f>
        <v>71.9814241486068</v>
      </c>
      <c r="D63" s="136">
        <f>100-(2*COMBIN(4,4)*COMBIN(1,0)*COMBIN(15,6)+COMBIN(1,1)*COMBIN(4,1)*COMBIN(15,8))/COMBIN(20,10)*100</f>
        <v>80.6501547987616</v>
      </c>
      <c r="E63" s="156">
        <v>100</v>
      </c>
      <c r="F63" s="157">
        <f>100-(2*COMBIN(4,4)*COMBIN(2,0)*COMBIN(14,6)+COMBIN(4,1)*COMBIN(2,2)*COMBIN(14,7))/COMBIN(20,10)*100</f>
        <v>89.3188854489164</v>
      </c>
      <c r="G63" s="172">
        <v>100</v>
      </c>
      <c r="H63" s="166">
        <v>100</v>
      </c>
      <c r="I63" s="154">
        <v>100</v>
      </c>
      <c r="J63" s="137">
        <v>100</v>
      </c>
      <c r="K63" s="138">
        <v>100</v>
      </c>
    </row>
    <row r="64" spans="2:11" ht="12.75">
      <c r="B64" s="109"/>
      <c r="C64" s="72"/>
      <c r="D64" s="72"/>
      <c r="E64" s="72"/>
      <c r="F64" s="72"/>
      <c r="G64" s="72"/>
      <c r="H64" s="72"/>
      <c r="I64" s="72"/>
      <c r="J64" s="72"/>
      <c r="K64" s="72"/>
    </row>
    <row r="65" spans="2:11" ht="12.75">
      <c r="B65" s="109"/>
      <c r="C65" s="72"/>
      <c r="D65" s="72"/>
      <c r="E65" s="72"/>
      <c r="F65" s="72"/>
      <c r="G65" s="72"/>
      <c r="H65" s="72"/>
      <c r="I65" s="72"/>
      <c r="J65" s="72"/>
      <c r="K65" s="72"/>
    </row>
  </sheetData>
  <sheetProtection/>
  <mergeCells count="10">
    <mergeCell ref="B2:B6"/>
    <mergeCell ref="L6:W6"/>
    <mergeCell ref="L4:W4"/>
    <mergeCell ref="L5:V5"/>
    <mergeCell ref="C9:E9"/>
    <mergeCell ref="F9:K9"/>
    <mergeCell ref="C38:E38"/>
    <mergeCell ref="F38:K38"/>
    <mergeCell ref="L2:W2"/>
    <mergeCell ref="L3:V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Д.Г.</dc:creator>
  <cp:keywords/>
  <dc:description>При перепечатке данных и расчетов ссылка на статью "Вероятности ловли дырок на мизере с учетом структуры карт в оставшихся мастях и всевозможных проносах" и ее СТРОГО автора обязательна.</dc:description>
  <cp:lastModifiedBy>Morozko</cp:lastModifiedBy>
  <dcterms:created xsi:type="dcterms:W3CDTF">2011-06-13T11:59:25Z</dcterms:created>
  <dcterms:modified xsi:type="dcterms:W3CDTF">2011-12-19T17:06:35Z</dcterms:modified>
  <cp:category/>
  <cp:version/>
  <cp:contentType/>
  <cp:contentStatus/>
</cp:coreProperties>
</file>